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15" yWindow="90" windowWidth="10155" windowHeight="7050" activeTab="1"/>
  </bookViews>
  <sheets>
    <sheet name="Notes" sheetId="1" r:id="rId1"/>
    <sheet name="Input Data" sheetId="2" r:id="rId2"/>
    <sheet name="Worked Example" sheetId="13" r:id="rId3"/>
    <sheet name="Civ_Struct_Eng_Tax Invoice " sheetId="3" r:id="rId4"/>
    <sheet name="Scales" sheetId="6" r:id="rId5"/>
    <sheet name="WTW Input" sheetId="4" r:id="rId6"/>
    <sheet name="Worked Example(WTW)" sheetId="14" r:id="rId7"/>
    <sheet name="WTW Calculations" sheetId="5" r:id="rId8"/>
    <sheet name="Previous Payments" sheetId="7" r:id="rId9"/>
    <sheet name="Summary A3" sheetId="15" r:id="rId10"/>
    <sheet name="Time Based" sheetId="10" r:id="rId11"/>
    <sheet name="Travelling &amp; Subsistence" sheetId="8" r:id="rId12"/>
    <sheet name="Trip Sheet" sheetId="16" r:id="rId13"/>
    <sheet name="Typing, Duplicating, &amp; Printing" sheetId="9" r:id="rId14"/>
    <sheet name="Site staff &amp; Other" sheetId="11" r:id="rId15"/>
    <sheet name="Non Taxable" sheetId="12" r:id="rId16"/>
  </sheets>
  <definedNames>
    <definedName name="_xlnm.Print_Area" localSheetId="3">'Civ_Struct_Eng_Tax Invoice '!$A$1:$Q$178</definedName>
    <definedName name="_xlnm.Print_Area" localSheetId="1">'Input Data'!$A$1:$H$59</definedName>
    <definedName name="_xlnm.Print_Area" localSheetId="0">Notes!$A$1:$B$64</definedName>
    <definedName name="_xlnm.Print_Area" localSheetId="14">'Site staff &amp; Other'!$A$1:$H$61</definedName>
    <definedName name="_xlnm.Print_Area" localSheetId="9">'Summary A3'!$A$1:$L$57</definedName>
    <definedName name="_xlnm.Print_Area" localSheetId="10">'Time Based'!$A$1:$H$77</definedName>
    <definedName name="_xlnm.Print_Area" localSheetId="11">'Travelling &amp; Subsistence'!$A$1:$I$61</definedName>
    <definedName name="_xlnm.Print_Area" localSheetId="2">'Worked Example'!$A$1:$H$60</definedName>
    <definedName name="_xlnm.Print_Area" localSheetId="6">'Worked Example(WTW)'!$A$1:$H$28</definedName>
    <definedName name="_xlnm.Print_Area" localSheetId="7">'WTW Calculations'!$A$1:$S$57</definedName>
    <definedName name="_xlnm.Print_Area" localSheetId="5">'WTW Input'!$A$1:$H$28</definedName>
    <definedName name="_xlnm.Print_Titles" localSheetId="3">'Civ_Struct_Eng_Tax Invoice '!$1:$6</definedName>
    <definedName name="_xlnm.Print_Titles" localSheetId="1">'Input Data'!$1:$5</definedName>
    <definedName name="_xlnm.Print_Titles" localSheetId="2">'Worked Example'!$1:$5</definedName>
    <definedName name="_xlnm.Print_Titles" localSheetId="7">'WTW Calculations'!$6:$13</definedName>
    <definedName name="SCALE_2011SE1">Scales!$B$3:$E$10</definedName>
    <definedName name="SCALE_2011SE2">Scales!$B$14:$E$21</definedName>
    <definedName name="Z_F2EF8C40_5F38_4711_A114_3A47916B87AA_.wvu.PrintArea" localSheetId="3" hidden="1">'Civ_Struct_Eng_Tax Invoice '!$A$1:$Q$111</definedName>
    <definedName name="Z_F2EF8C40_5F38_4711_A114_3A47916B87AA_.wvu.PrintArea" localSheetId="1" hidden="1">'Input Data'!$A$1:$H$59</definedName>
    <definedName name="Z_F2EF8C40_5F38_4711_A114_3A47916B87AA_.wvu.PrintArea" localSheetId="14" hidden="1">'Site staff &amp; Other'!$A$1:$H$60</definedName>
    <definedName name="Z_F2EF8C40_5F38_4711_A114_3A47916B87AA_.wvu.PrintArea" localSheetId="10" hidden="1">'Time Based'!$A$1:$H$76</definedName>
    <definedName name="Z_F2EF8C40_5F38_4711_A114_3A47916B87AA_.wvu.PrintArea" localSheetId="11" hidden="1">'Travelling &amp; Subsistence'!$A$1:$I$60</definedName>
    <definedName name="Z_F2EF8C40_5F38_4711_A114_3A47916B87AA_.wvu.PrintArea" localSheetId="2" hidden="1">'Worked Example'!$A$1:$H$60</definedName>
    <definedName name="Z_F2EF8C40_5F38_4711_A114_3A47916B87AA_.wvu.PrintTitles" localSheetId="3" hidden="1">'Civ_Struct_Eng_Tax Invoice '!$2:$6</definedName>
    <definedName name="Z_F2EF8C40_5F38_4711_A114_3A47916B87AA_.wvu.PrintTitles" localSheetId="7" hidden="1">'WTW Calculations'!$6:$13</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Q150" i="3" l="1"/>
  <c r="Q169" i="3"/>
  <c r="Q176" i="3"/>
  <c r="A82" i="1" l="1"/>
  <c r="G3" i="12" l="1"/>
  <c r="F3" i="11"/>
  <c r="E3" i="9"/>
  <c r="F3" i="8"/>
  <c r="F3" i="10"/>
  <c r="F2" i="7"/>
  <c r="B6" i="5"/>
  <c r="C3" i="12"/>
  <c r="C3" i="11"/>
  <c r="B3" i="9"/>
  <c r="C3" i="8"/>
  <c r="D3" i="10"/>
  <c r="D2" i="7"/>
  <c r="C5" i="5"/>
  <c r="C8" i="4"/>
  <c r="E9" i="4"/>
  <c r="J50" i="15" l="1"/>
  <c r="H50" i="15"/>
  <c r="L49" i="15"/>
  <c r="L55" i="15" s="1"/>
  <c r="L47" i="15"/>
  <c r="J47" i="15"/>
  <c r="H47" i="15"/>
  <c r="J38" i="15"/>
  <c r="L38" i="15" s="1"/>
  <c r="H38" i="15"/>
  <c r="J29" i="15"/>
  <c r="L29" i="15" s="1"/>
  <c r="L53" i="15" s="1"/>
  <c r="H29" i="15"/>
  <c r="O60" i="16"/>
  <c r="N44" i="16"/>
  <c r="H43" i="16"/>
  <c r="O43" i="16" s="1"/>
  <c r="O45" i="16" s="1"/>
  <c r="O61" i="16" s="1"/>
  <c r="J36" i="16"/>
  <c r="M36" i="16" s="1"/>
  <c r="O36" i="16" s="1"/>
  <c r="O37" i="16" s="1"/>
  <c r="F36" i="16"/>
  <c r="F37" i="16" s="1"/>
  <c r="F35" i="16"/>
  <c r="F34" i="16"/>
  <c r="F33" i="16"/>
  <c r="O16" i="16"/>
  <c r="L54" i="15" l="1"/>
  <c r="L56" i="15" s="1"/>
  <c r="H54" i="15"/>
  <c r="F31" i="2" l="1"/>
  <c r="Q72" i="3"/>
  <c r="O71" i="3"/>
  <c r="K2" i="7"/>
  <c r="D7" i="7" s="1"/>
  <c r="F7" i="7" s="1"/>
  <c r="D11" i="7"/>
  <c r="D19" i="7"/>
  <c r="D27" i="7"/>
  <c r="D35" i="7"/>
  <c r="K7" i="7"/>
  <c r="M7" i="7" s="1"/>
  <c r="K9" i="7"/>
  <c r="M9" i="7" s="1"/>
  <c r="K11" i="7"/>
  <c r="M11" i="7" s="1"/>
  <c r="K13" i="7"/>
  <c r="M13" i="7" s="1"/>
  <c r="K15" i="7"/>
  <c r="M15" i="7" s="1"/>
  <c r="K17" i="7"/>
  <c r="M17" i="7" s="1"/>
  <c r="K19" i="7"/>
  <c r="M19" i="7" s="1"/>
  <c r="K21" i="7"/>
  <c r="M21" i="7" s="1"/>
  <c r="K23" i="7"/>
  <c r="M23" i="7" s="1"/>
  <c r="K25" i="7"/>
  <c r="M25" i="7" s="1"/>
  <c r="K27" i="7"/>
  <c r="M27" i="7" s="1"/>
  <c r="K29" i="7"/>
  <c r="M29" i="7" s="1"/>
  <c r="K31" i="7"/>
  <c r="M31" i="7" s="1"/>
  <c r="K33" i="7"/>
  <c r="M33" i="7" s="1"/>
  <c r="K35" i="7"/>
  <c r="M35" i="7" s="1"/>
  <c r="K37" i="7"/>
  <c r="M37" i="7" s="1"/>
  <c r="K39" i="7"/>
  <c r="M39" i="7" s="1"/>
  <c r="K41" i="7"/>
  <c r="M41" i="7" s="1"/>
  <c r="O108" i="3"/>
  <c r="Q75" i="3"/>
  <c r="G10" i="13"/>
  <c r="E10" i="13"/>
  <c r="I14" i="6"/>
  <c r="G10" i="2"/>
  <c r="E10" i="2"/>
  <c r="H3" i="13"/>
  <c r="H4" i="14"/>
  <c r="I18" i="12"/>
  <c r="I20" i="12" s="1"/>
  <c r="Q89" i="3" s="1"/>
  <c r="O110" i="3" s="1"/>
  <c r="O109" i="3" s="1"/>
  <c r="E9" i="2"/>
  <c r="E22" i="4"/>
  <c r="E47" i="2" s="1"/>
  <c r="G22" i="4"/>
  <c r="G47" i="2" s="1"/>
  <c r="G48" i="2" s="1"/>
  <c r="E20" i="2"/>
  <c r="C20" i="6"/>
  <c r="C19" i="6"/>
  <c r="C18" i="6"/>
  <c r="C17" i="6"/>
  <c r="C16" i="6"/>
  <c r="C15" i="6"/>
  <c r="C14" i="6"/>
  <c r="C3" i="6"/>
  <c r="H36" i="2" s="1"/>
  <c r="H12" i="10"/>
  <c r="F22" i="4"/>
  <c r="E2" i="2"/>
  <c r="L2" i="3" s="1"/>
  <c r="F8" i="4"/>
  <c r="K150" i="3"/>
  <c r="K169" i="3"/>
  <c r="K176" i="3"/>
  <c r="K75" i="3"/>
  <c r="E75" i="3"/>
  <c r="G75" i="3"/>
  <c r="M75" i="3"/>
  <c r="H27" i="10"/>
  <c r="H38" i="10" s="1"/>
  <c r="H43" i="10"/>
  <c r="H61" i="10"/>
  <c r="I24" i="8"/>
  <c r="I46" i="8"/>
  <c r="I57" i="8"/>
  <c r="I8" i="9"/>
  <c r="I19" i="9"/>
  <c r="I32" i="9"/>
  <c r="I43" i="9"/>
  <c r="H7" i="11"/>
  <c r="H17" i="11" s="1"/>
  <c r="H8" i="11"/>
  <c r="H9" i="11"/>
  <c r="H10" i="11"/>
  <c r="H11" i="11"/>
  <c r="H12" i="11"/>
  <c r="H13" i="11"/>
  <c r="H14" i="11"/>
  <c r="H15" i="11"/>
  <c r="H16" i="11"/>
  <c r="H21" i="11"/>
  <c r="H22" i="11"/>
  <c r="H23" i="11"/>
  <c r="H24" i="11"/>
  <c r="H25" i="11"/>
  <c r="H26" i="11"/>
  <c r="H27" i="11"/>
  <c r="H28" i="11"/>
  <c r="H29" i="11"/>
  <c r="H30" i="11"/>
  <c r="H35" i="11"/>
  <c r="H36" i="11"/>
  <c r="H37" i="11"/>
  <c r="H38" i="11"/>
  <c r="H39" i="11"/>
  <c r="H40" i="11"/>
  <c r="H41" i="11"/>
  <c r="H42" i="11"/>
  <c r="H43" i="11"/>
  <c r="H44" i="11"/>
  <c r="H49" i="11"/>
  <c r="H56" i="11" s="1"/>
  <c r="H78" i="10"/>
  <c r="C108" i="3"/>
  <c r="I61" i="8"/>
  <c r="F108" i="3" s="1"/>
  <c r="I60" i="9"/>
  <c r="I108" i="3"/>
  <c r="H59" i="11"/>
  <c r="H61" i="11" s="1"/>
  <c r="K108" i="3" s="1"/>
  <c r="C42" i="7"/>
  <c r="J5" i="7" s="1"/>
  <c r="J42" i="7" s="1"/>
  <c r="Q111" i="3"/>
  <c r="E17" i="2"/>
  <c r="C15" i="3"/>
  <c r="H4" i="3"/>
  <c r="S3" i="5"/>
  <c r="H4" i="4"/>
  <c r="A23" i="4"/>
  <c r="F47" i="2"/>
  <c r="B19" i="3"/>
  <c r="C10" i="4"/>
  <c r="C10" i="5"/>
  <c r="Q2" i="3"/>
  <c r="I6" i="5"/>
  <c r="B11" i="4"/>
  <c r="H3" i="4"/>
  <c r="S5" i="5"/>
  <c r="B8" i="5"/>
  <c r="C12" i="5"/>
  <c r="O18" i="3"/>
  <c r="Q16" i="3"/>
  <c r="N17" i="3"/>
  <c r="Q17" i="3"/>
  <c r="Q14" i="3"/>
  <c r="Q13" i="3"/>
  <c r="P12" i="3"/>
  <c r="B17" i="3"/>
  <c r="B16" i="3"/>
  <c r="O15" i="3"/>
  <c r="B14" i="3"/>
  <c r="B13" i="3"/>
  <c r="B12" i="3"/>
  <c r="P6" i="3"/>
  <c r="J10" i="3"/>
  <c r="M10" i="3"/>
  <c r="O10" i="3"/>
  <c r="Q9" i="3"/>
  <c r="Q8" i="3"/>
  <c r="Q7" i="3"/>
  <c r="O9" i="3"/>
  <c r="M9" i="3"/>
  <c r="M8" i="3"/>
  <c r="M7" i="3"/>
  <c r="M6" i="3"/>
  <c r="B10" i="3"/>
  <c r="B9" i="3"/>
  <c r="B8" i="3"/>
  <c r="B7" i="3"/>
  <c r="B6" i="3"/>
  <c r="Q3" i="3"/>
  <c r="P4" i="3"/>
  <c r="M3" i="3"/>
  <c r="B5" i="3"/>
  <c r="B4" i="3"/>
  <c r="E18" i="2"/>
  <c r="F48" i="2"/>
  <c r="I2" i="5"/>
  <c r="E42" i="7"/>
  <c r="L5" i="7" s="1"/>
  <c r="L42" i="7" s="1"/>
  <c r="F11" i="7"/>
  <c r="F19" i="7"/>
  <c r="F27" i="7"/>
  <c r="F35"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62" i="10"/>
  <c r="H75" i="10" s="1"/>
  <c r="H77" i="10" s="1"/>
  <c r="Q77" i="3" s="1"/>
  <c r="H63" i="10"/>
  <c r="H64" i="10"/>
  <c r="H65" i="10"/>
  <c r="H66" i="10"/>
  <c r="H67" i="10"/>
  <c r="H68" i="10"/>
  <c r="H69" i="10"/>
  <c r="H70" i="10"/>
  <c r="H71" i="10"/>
  <c r="H72" i="10"/>
  <c r="H73" i="10"/>
  <c r="H74" i="10"/>
  <c r="H44" i="10"/>
  <c r="H45" i="10"/>
  <c r="H46" i="10"/>
  <c r="H47" i="10"/>
  <c r="H48" i="10"/>
  <c r="H49" i="10"/>
  <c r="H50" i="10"/>
  <c r="H51" i="10"/>
  <c r="H52" i="10"/>
  <c r="H53" i="10"/>
  <c r="H54" i="10"/>
  <c r="H55" i="10"/>
  <c r="H56" i="10"/>
  <c r="I44" i="9"/>
  <c r="I45" i="9"/>
  <c r="I46" i="9"/>
  <c r="I47" i="9"/>
  <c r="I48" i="9"/>
  <c r="I49" i="9"/>
  <c r="I50" i="9"/>
  <c r="I51" i="9"/>
  <c r="I52" i="9"/>
  <c r="I53" i="9"/>
  <c r="I54" i="9"/>
  <c r="I55" i="9"/>
  <c r="I33" i="9"/>
  <c r="I34" i="9"/>
  <c r="I35" i="9"/>
  <c r="I36" i="9"/>
  <c r="I37" i="9"/>
  <c r="I38" i="9"/>
  <c r="I20" i="9"/>
  <c r="I21" i="9"/>
  <c r="I22" i="9"/>
  <c r="I23" i="9"/>
  <c r="I28" i="9" s="1"/>
  <c r="I24" i="9"/>
  <c r="I25" i="9"/>
  <c r="I26" i="9"/>
  <c r="I27" i="9"/>
  <c r="I9" i="9"/>
  <c r="I15" i="9" s="1"/>
  <c r="I10" i="9"/>
  <c r="I11" i="9"/>
  <c r="I12" i="9"/>
  <c r="I13" i="9"/>
  <c r="I14" i="9"/>
  <c r="I25" i="8"/>
  <c r="I26" i="8"/>
  <c r="I27" i="8"/>
  <c r="I28" i="8"/>
  <c r="I29" i="8"/>
  <c r="I34" i="8" s="1"/>
  <c r="I60" i="8" s="1"/>
  <c r="Q80" i="3" s="1"/>
  <c r="I30" i="8"/>
  <c r="I31" i="8"/>
  <c r="I32" i="8"/>
  <c r="I33" i="8"/>
  <c r="H28" i="10"/>
  <c r="H29" i="10"/>
  <c r="H30" i="10"/>
  <c r="H31" i="10"/>
  <c r="H32" i="10"/>
  <c r="H33" i="10"/>
  <c r="H34" i="10"/>
  <c r="H35" i="10"/>
  <c r="H36" i="10"/>
  <c r="H37" i="10"/>
  <c r="H13" i="10"/>
  <c r="H14" i="10"/>
  <c r="H22" i="10" s="1"/>
  <c r="H15" i="10"/>
  <c r="H16" i="10"/>
  <c r="H17" i="10"/>
  <c r="H18" i="10"/>
  <c r="H19" i="10"/>
  <c r="H20" i="10"/>
  <c r="H21" i="10"/>
  <c r="G28" i="4"/>
  <c r="I56" i="9"/>
  <c r="H57" i="10"/>
  <c r="H31" i="11"/>
  <c r="H45" i="11"/>
  <c r="I39" i="9"/>
  <c r="D3" i="4"/>
  <c r="E3" i="2"/>
  <c r="H46" i="2"/>
  <c r="G141" i="3" s="1"/>
  <c r="D38" i="7"/>
  <c r="F38" i="7" s="1"/>
  <c r="D34" i="7"/>
  <c r="F34" i="7"/>
  <c r="D30" i="7"/>
  <c r="F30" i="7" s="1"/>
  <c r="D26" i="7"/>
  <c r="F26" i="7"/>
  <c r="D22" i="7"/>
  <c r="F22" i="7" s="1"/>
  <c r="D18" i="7"/>
  <c r="F18" i="7"/>
  <c r="D14" i="7"/>
  <c r="F14" i="7" s="1"/>
  <c r="D10" i="7"/>
  <c r="F10" i="7"/>
  <c r="D6" i="7"/>
  <c r="F6" i="7" s="1"/>
  <c r="K40" i="7"/>
  <c r="M40" i="7" s="1"/>
  <c r="K38" i="7"/>
  <c r="M38" i="7"/>
  <c r="K36" i="7"/>
  <c r="M36" i="7" s="1"/>
  <c r="K34" i="7"/>
  <c r="M34" i="7"/>
  <c r="K32" i="7"/>
  <c r="M32" i="7" s="1"/>
  <c r="K30" i="7"/>
  <c r="M30" i="7"/>
  <c r="K28" i="7"/>
  <c r="M28" i="7" s="1"/>
  <c r="K26" i="7"/>
  <c r="M26" i="7"/>
  <c r="K24" i="7"/>
  <c r="M24" i="7" s="1"/>
  <c r="K22" i="7"/>
  <c r="M22" i="7"/>
  <c r="K20" i="7"/>
  <c r="M20" i="7" s="1"/>
  <c r="K18" i="7"/>
  <c r="M18" i="7"/>
  <c r="K16" i="7"/>
  <c r="M16" i="7" s="1"/>
  <c r="K14" i="7"/>
  <c r="M14" i="7"/>
  <c r="K12" i="7"/>
  <c r="M12" i="7" s="1"/>
  <c r="K10" i="7"/>
  <c r="M10" i="7"/>
  <c r="K8" i="7"/>
  <c r="M8" i="7" s="1"/>
  <c r="K6" i="7"/>
  <c r="M6" i="7"/>
  <c r="D41" i="7"/>
  <c r="F41" i="7" s="1"/>
  <c r="D37" i="7"/>
  <c r="F37" i="7"/>
  <c r="D33" i="7"/>
  <c r="F33" i="7" s="1"/>
  <c r="D29" i="7"/>
  <c r="F29" i="7"/>
  <c r="D25" i="7"/>
  <c r="F25" i="7" s="1"/>
  <c r="D21" i="7"/>
  <c r="F21" i="7"/>
  <c r="D17" i="7"/>
  <c r="F17" i="7" s="1"/>
  <c r="D13" i="7"/>
  <c r="F13" i="7"/>
  <c r="D9" i="7"/>
  <c r="F9" i="7" s="1"/>
  <c r="K3" i="5"/>
  <c r="M2" i="3"/>
  <c r="D4" i="4"/>
  <c r="H40" i="2" l="1"/>
  <c r="Q123" i="3" s="1"/>
  <c r="Q25" i="3" s="1"/>
  <c r="K5" i="6"/>
  <c r="H16" i="4"/>
  <c r="K29" i="5" s="1"/>
  <c r="H45" i="2"/>
  <c r="M138" i="3" s="1"/>
  <c r="M50" i="5"/>
  <c r="H26" i="4"/>
  <c r="O50" i="5" s="1"/>
  <c r="H39" i="2"/>
  <c r="M120" i="3" s="1"/>
  <c r="H41" i="2"/>
  <c r="I126" i="3" s="1"/>
  <c r="K165" i="3"/>
  <c r="K157" i="3"/>
  <c r="H51" i="2"/>
  <c r="H42" i="2"/>
  <c r="I129" i="3" s="1"/>
  <c r="H59" i="2"/>
  <c r="O169" i="3" s="1"/>
  <c r="H20" i="4"/>
  <c r="O41" i="5" s="1"/>
  <c r="H15" i="4"/>
  <c r="O26" i="5" s="1"/>
  <c r="K160" i="3"/>
  <c r="C31" i="2"/>
  <c r="E38" i="2"/>
  <c r="H50" i="2"/>
  <c r="Q117" i="3" s="1"/>
  <c r="O165" i="3" s="1"/>
  <c r="M169" i="3"/>
  <c r="H18" i="4"/>
  <c r="Q35" i="5" s="1"/>
  <c r="M53" i="5"/>
  <c r="H14" i="4"/>
  <c r="Q23" i="5" s="1"/>
  <c r="I7" i="6"/>
  <c r="O141" i="3"/>
  <c r="I5" i="6"/>
  <c r="H54" i="2"/>
  <c r="M157" i="3" s="1"/>
  <c r="I141" i="3"/>
  <c r="I6" i="6"/>
  <c r="H44" i="2"/>
  <c r="O135" i="3" s="1"/>
  <c r="H43" i="2"/>
  <c r="G132" i="3" s="1"/>
  <c r="H21" i="4"/>
  <c r="Q44" i="5" s="1"/>
  <c r="A19" i="3"/>
  <c r="M176" i="3"/>
  <c r="H58" i="2"/>
  <c r="M165" i="3" s="1"/>
  <c r="H19" i="4"/>
  <c r="Q38" i="5" s="1"/>
  <c r="H17" i="4"/>
  <c r="O32" i="5" s="1"/>
  <c r="K6" i="6"/>
  <c r="M142" i="3"/>
  <c r="K7" i="6"/>
  <c r="H27" i="4"/>
  <c r="Q53" i="5" s="1"/>
  <c r="I123" i="3"/>
  <c r="M141" i="3"/>
  <c r="E141" i="3"/>
  <c r="M139" i="3"/>
  <c r="Q141" i="3"/>
  <c r="Q37" i="3" s="1"/>
  <c r="I150" i="3"/>
  <c r="I59" i="9"/>
  <c r="Q81" i="3" s="1"/>
  <c r="I110" i="3" s="1"/>
  <c r="I109" i="3" s="1"/>
  <c r="F110" i="3"/>
  <c r="F109" i="3" s="1"/>
  <c r="Q84" i="3"/>
  <c r="A60" i="11"/>
  <c r="H58" i="11"/>
  <c r="H60" i="11" s="1"/>
  <c r="Q82" i="3" s="1"/>
  <c r="K110" i="3" s="1"/>
  <c r="K109" i="3" s="1"/>
  <c r="E48" i="2"/>
  <c r="H47" i="2"/>
  <c r="D36" i="7"/>
  <c r="F36" i="7" s="1"/>
  <c r="D28" i="7"/>
  <c r="F28" i="7" s="1"/>
  <c r="D20" i="7"/>
  <c r="F20" i="7" s="1"/>
  <c r="D12" i="7"/>
  <c r="F12" i="7" s="1"/>
  <c r="D5" i="7"/>
  <c r="D40" i="7"/>
  <c r="F40" i="7" s="1"/>
  <c r="D32" i="7"/>
  <c r="F32" i="7" s="1"/>
  <c r="D24" i="7"/>
  <c r="F24" i="7" s="1"/>
  <c r="D16" i="7"/>
  <c r="F16" i="7" s="1"/>
  <c r="D8" i="7"/>
  <c r="F8" i="7" s="1"/>
  <c r="H55" i="2"/>
  <c r="D39" i="7"/>
  <c r="F39" i="7" s="1"/>
  <c r="D31" i="7"/>
  <c r="F31" i="7" s="1"/>
  <c r="D23" i="7"/>
  <c r="F23" i="7" s="1"/>
  <c r="D15" i="7"/>
  <c r="F15" i="7" s="1"/>
  <c r="S41" i="5" l="1"/>
  <c r="G49" i="2"/>
  <c r="O123" i="3"/>
  <c r="M123" i="3"/>
  <c r="M124" i="3"/>
  <c r="I169" i="3"/>
  <c r="Q61" i="3" s="1"/>
  <c r="I138" i="3"/>
  <c r="K41" i="5"/>
  <c r="S29" i="5"/>
  <c r="I41" i="5"/>
  <c r="O51" i="5"/>
  <c r="M166" i="3"/>
  <c r="O53" i="5"/>
  <c r="S26" i="5"/>
  <c r="Q165" i="3"/>
  <c r="Q58" i="3" s="1"/>
  <c r="O24" i="5"/>
  <c r="O30" i="5"/>
  <c r="Q138" i="3"/>
  <c r="Q35" i="3" s="1"/>
  <c r="O138" i="3"/>
  <c r="G138" i="3"/>
  <c r="L5" i="6"/>
  <c r="L6" i="6" s="1"/>
  <c r="L7" i="6" s="1"/>
  <c r="M126" i="3"/>
  <c r="S53" i="5"/>
  <c r="S15" i="5"/>
  <c r="Q29" i="5"/>
  <c r="M132" i="3"/>
  <c r="O29" i="5"/>
  <c r="O23" i="5"/>
  <c r="I44" i="5"/>
  <c r="I35" i="5"/>
  <c r="O35" i="5"/>
  <c r="S23" i="5"/>
  <c r="L19" i="3"/>
  <c r="H22" i="4"/>
  <c r="M135" i="3"/>
  <c r="Q20" i="3"/>
  <c r="O150" i="3" s="1"/>
  <c r="Q50" i="5"/>
  <c r="S50" i="5"/>
  <c r="K26" i="5"/>
  <c r="O146" i="3"/>
  <c r="Q41" i="5"/>
  <c r="O42" i="5"/>
  <c r="Q129" i="3"/>
  <c r="Q29" i="3" s="1"/>
  <c r="O129" i="3"/>
  <c r="M130" i="3"/>
  <c r="M35" i="5"/>
  <c r="K138" i="3"/>
  <c r="K53" i="5"/>
  <c r="M129" i="3"/>
  <c r="S35" i="5"/>
  <c r="K35" i="5"/>
  <c r="O36" i="5"/>
  <c r="M147" i="3"/>
  <c r="M146" i="3"/>
  <c r="J20" i="3"/>
  <c r="L20" i="3"/>
  <c r="Q26" i="5"/>
  <c r="O27" i="5"/>
  <c r="M26" i="5"/>
  <c r="M150" i="3"/>
  <c r="K132" i="3"/>
  <c r="K146" i="3"/>
  <c r="O54" i="5"/>
  <c r="O132" i="3"/>
  <c r="M133" i="3"/>
  <c r="I132" i="3"/>
  <c r="Q132" i="3"/>
  <c r="Q31" i="3" s="1"/>
  <c r="M29" i="5"/>
  <c r="K38" i="5"/>
  <c r="O39" i="5"/>
  <c r="I38" i="5"/>
  <c r="S38" i="5"/>
  <c r="O38" i="5"/>
  <c r="I75" i="3"/>
  <c r="K123" i="3"/>
  <c r="M44" i="5"/>
  <c r="M32" i="5"/>
  <c r="G135" i="3"/>
  <c r="M136" i="3"/>
  <c r="I135" i="3"/>
  <c r="Q135" i="3"/>
  <c r="Q33" i="3" s="1"/>
  <c r="H28" i="4"/>
  <c r="Q32" i="5"/>
  <c r="K32" i="5"/>
  <c r="O33" i="5"/>
  <c r="S32" i="5"/>
  <c r="G44" i="5"/>
  <c r="O44" i="5"/>
  <c r="O45" i="5"/>
  <c r="K44" i="5"/>
  <c r="S44" i="5"/>
  <c r="M160" i="3"/>
  <c r="I160" i="3"/>
  <c r="F5" i="7"/>
  <c r="F42" i="7" s="1"/>
  <c r="D42" i="7"/>
  <c r="K5" i="7" s="1"/>
  <c r="M38" i="5" l="1"/>
  <c r="M23" i="5"/>
  <c r="K135" i="3"/>
  <c r="K129" i="3"/>
  <c r="K120" i="3"/>
  <c r="K126" i="3"/>
  <c r="K141" i="3"/>
  <c r="M41" i="5"/>
  <c r="Q43" i="3"/>
  <c r="Q146" i="3"/>
  <c r="Q40" i="3" s="1"/>
  <c r="M117" i="3"/>
  <c r="O117" i="3"/>
  <c r="K117" i="3"/>
  <c r="G56" i="2"/>
  <c r="S55" i="5"/>
  <c r="O172" i="3" s="1"/>
  <c r="M172" i="3" s="1"/>
  <c r="Q172" i="3" s="1"/>
  <c r="Q64" i="3" s="1"/>
  <c r="K42" i="7"/>
  <c r="Q86" i="3" s="1"/>
  <c r="M5" i="7"/>
  <c r="M42" i="7" s="1"/>
  <c r="I42" i="7" s="1"/>
  <c r="M108" i="3" s="1"/>
  <c r="B108" i="3" s="1"/>
  <c r="Q108" i="3" s="1"/>
  <c r="G57" i="2" l="1"/>
  <c r="H56" i="2"/>
  <c r="H57" i="2" s="1"/>
  <c r="H48" i="2" l="1"/>
  <c r="I176" i="3" s="1"/>
  <c r="M121" i="3" l="1"/>
  <c r="A49" i="2"/>
  <c r="F49" i="2"/>
  <c r="G10" i="8"/>
  <c r="I10" i="8" s="1"/>
  <c r="G9" i="8"/>
  <c r="I9" i="8" s="1"/>
  <c r="Q19" i="3"/>
  <c r="K115" i="3" s="1"/>
  <c r="G11" i="8"/>
  <c r="I11" i="8" s="1"/>
  <c r="S14" i="5"/>
  <c r="S46" i="5" s="1"/>
  <c r="S57" i="5" s="1"/>
  <c r="G8" i="8"/>
  <c r="I8" i="8" s="1"/>
  <c r="D25" i="2"/>
  <c r="C18" i="3" s="1"/>
  <c r="M158" i="3"/>
  <c r="G13" i="8"/>
  <c r="I13" i="8" s="1"/>
  <c r="G7" i="8"/>
  <c r="I7" i="8" s="1"/>
  <c r="G16" i="8"/>
  <c r="I16" i="8" s="1"/>
  <c r="M161" i="3"/>
  <c r="G15" i="8"/>
  <c r="I15" i="8" s="1"/>
  <c r="G12" i="8"/>
  <c r="I12" i="8" s="1"/>
  <c r="G14" i="8"/>
  <c r="I14" i="8" s="1"/>
  <c r="M127" i="3"/>
  <c r="M115" i="3" l="1"/>
  <c r="O18" i="5" s="1"/>
  <c r="O153" i="3"/>
  <c r="Q153" i="3" s="1"/>
  <c r="Q46" i="3" s="1"/>
  <c r="I17" i="8"/>
  <c r="Q76" i="3" s="1"/>
  <c r="O115" i="3"/>
  <c r="Q18" i="5" s="1"/>
  <c r="M18" i="5"/>
  <c r="S18" i="5" l="1"/>
  <c r="Q115" i="3"/>
  <c r="O120" i="3" s="1"/>
  <c r="Q120" i="3" s="1"/>
  <c r="Q23" i="3" s="1"/>
  <c r="O126" i="3" l="1"/>
  <c r="Q126" i="3" s="1"/>
  <c r="Q27" i="3" s="1"/>
  <c r="O157" i="3"/>
  <c r="Q157" i="3" s="1"/>
  <c r="Q52" i="3" s="1"/>
  <c r="O160" i="3"/>
  <c r="Q160" i="3" s="1"/>
  <c r="Q54" i="3" s="1"/>
  <c r="Q118" i="3"/>
  <c r="O176" i="3" s="1"/>
  <c r="Q68" i="3" s="1"/>
  <c r="Q143" i="3" l="1"/>
  <c r="Q155" i="3" s="1"/>
  <c r="Q74" i="3"/>
  <c r="Q78" i="3" s="1"/>
  <c r="C110" i="3" s="1"/>
  <c r="C109" i="3" s="1"/>
  <c r="Q162" i="3"/>
  <c r="Q174" i="3" s="1"/>
  <c r="Q66" i="3" s="1"/>
  <c r="Q55" i="3" l="1"/>
  <c r="Q38" i="3"/>
  <c r="Q48" i="3"/>
  <c r="Q178" i="3"/>
  <c r="Q70" i="3" l="1"/>
  <c r="Q71" i="3"/>
  <c r="Q85" i="3" l="1"/>
  <c r="B110" i="3"/>
  <c r="B109" i="3" s="1"/>
  <c r="G87" i="3" l="1"/>
  <c r="I90" i="3"/>
  <c r="Q87" i="3"/>
  <c r="M88" i="3" s="1"/>
  <c r="Q88" i="3" s="1"/>
  <c r="M110" i="3" s="1"/>
  <c r="Q110" i="3" s="1"/>
  <c r="Q109" i="3" s="1"/>
  <c r="M109" i="3" l="1"/>
  <c r="Q90" i="3"/>
</calcChain>
</file>

<file path=xl/comments1.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F49" authorId="1">
      <text>
        <r>
          <rPr>
            <b/>
            <sz val="8"/>
            <color indexed="81"/>
            <rFont val="Tahoma"/>
            <family val="2"/>
          </rPr>
          <t>Charles beau rain:</t>
        </r>
        <r>
          <rPr>
            <sz val="8"/>
            <color indexed="81"/>
            <rFont val="Tahoma"/>
            <family val="2"/>
          </rPr>
          <t xml:space="preserve">
</t>
        </r>
        <r>
          <rPr>
            <sz val="10"/>
            <color indexed="81"/>
            <rFont val="Tahoma"/>
            <family val="2"/>
          </rPr>
          <t>The total final value of H46 must be = H56</t>
        </r>
      </text>
    </comment>
    <comment ref="G49" authorId="1">
      <text>
        <r>
          <rPr>
            <b/>
            <sz val="10"/>
            <color indexed="81"/>
            <rFont val="Tahoma"/>
            <family val="2"/>
          </rPr>
          <t>Charles beau rain:</t>
        </r>
        <r>
          <rPr>
            <sz val="10"/>
            <color indexed="81"/>
            <rFont val="Tahoma"/>
            <family val="2"/>
          </rPr>
          <t xml:space="preserve">
The total final value in H50 must be = H58</t>
        </r>
      </text>
    </comment>
  </commentList>
</comments>
</file>

<file path=xl/comments2.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4" authorId="1">
      <text>
        <r>
          <rPr>
            <b/>
            <sz val="8"/>
            <color indexed="81"/>
            <rFont val="Tahoma"/>
            <family val="2"/>
          </rPr>
          <t>Charles beau rain:</t>
        </r>
        <r>
          <rPr>
            <sz val="8"/>
            <color indexed="81"/>
            <rFont val="Tahoma"/>
            <family val="2"/>
          </rPr>
          <t xml:space="preserve">
Only ="Y" when specifically appointed as Principal agent.
</t>
        </r>
      </text>
    </comment>
    <comment ref="E36" authorId="1">
      <text>
        <r>
          <rPr>
            <b/>
            <sz val="8"/>
            <color indexed="81"/>
            <rFont val="Tahoma"/>
            <family val="2"/>
          </rPr>
          <t>Charles beau rain:</t>
        </r>
        <r>
          <rPr>
            <sz val="8"/>
            <color indexed="81"/>
            <rFont val="Tahoma"/>
            <family val="2"/>
          </rPr>
          <t xml:space="preserve">
Only ="Y" when specifically appointed as Principal agent.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<sst xmlns="http://schemas.openxmlformats.org/spreadsheetml/2006/main" count="1145" uniqueCount="644">
  <si>
    <t>PLUS VAT @</t>
  </si>
  <si>
    <t xml:space="preserve"> x</t>
  </si>
  <si>
    <t xml:space="preserve"> x {</t>
  </si>
  <si>
    <t>)}=</t>
  </si>
  <si>
    <t>Date</t>
  </si>
  <si>
    <t xml:space="preserve">Hours </t>
  </si>
  <si>
    <t>Total</t>
  </si>
  <si>
    <t>Amount</t>
  </si>
  <si>
    <t>DATE</t>
  </si>
  <si>
    <t>Hours</t>
  </si>
  <si>
    <t>Hotel Name</t>
  </si>
  <si>
    <t>Delivered to</t>
  </si>
  <si>
    <t>Size</t>
  </si>
  <si>
    <t>Type</t>
  </si>
  <si>
    <t>1. Typing</t>
  </si>
  <si>
    <t>2. Duplicating</t>
  </si>
  <si>
    <t>Description of Document</t>
  </si>
  <si>
    <t>Pages</t>
  </si>
  <si>
    <t>PAYMENT CERTIFICATE NO:</t>
  </si>
  <si>
    <t>SERVICE:</t>
  </si>
  <si>
    <t>INVOICE NUMBER:</t>
  </si>
  <si>
    <t>OF</t>
  </si>
  <si>
    <t>AMOUNT DUE</t>
  </si>
  <si>
    <t>TOTAL FEES DUE</t>
  </si>
  <si>
    <t>NOTE:</t>
  </si>
  <si>
    <t>x</t>
  </si>
  <si>
    <t>Designation</t>
  </si>
  <si>
    <t>BASIC FEE</t>
  </si>
  <si>
    <t>PRINCIPAL AGENT (Y/N)</t>
  </si>
  <si>
    <t>DATE APPOINTED :</t>
  </si>
  <si>
    <t>TARIFF OF FEES TO APPLY :</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</si>
  <si>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</si>
  <si>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</si>
  <si>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</si>
  <si>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</si>
  <si>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</si>
  <si>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</si>
  <si>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</si>
  <si>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</si>
  <si>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</si>
  <si>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</si>
  <si>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</si>
  <si>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</si>
  <si>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</si>
  <si>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</si>
  <si>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</si>
  <si>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</si>
  <si>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</si>
  <si>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</si>
  <si>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</si>
  <si>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</si>
  <si>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</si>
  <si>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</si>
  <si>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</si>
  <si>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</si>
  <si>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</si>
  <si>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</si>
  <si>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</si>
  <si>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</si>
  <si>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</si>
  <si>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</si>
  <si>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</si>
  <si>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</si>
  <si>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</si>
  <si>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</si>
  <si>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</si>
  <si>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</si>
  <si>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</si>
  <si>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</si>
  <si>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</si>
  <si>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</si>
  <si>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</si>
  <si>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</si>
  <si>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</si>
  <si>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</si>
  <si>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</si>
  <si>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</si>
  <si>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</si>
  <si>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</si>
  <si>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</si>
  <si>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</si>
  <si>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</si>
  <si>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</si>
  <si>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</si>
  <si>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</si>
  <si>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</si>
  <si>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</si>
  <si>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</si>
  <si>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D: Other Charges</t>
  </si>
  <si>
    <t>Invoice or TMB Number</t>
  </si>
  <si>
    <t>Laboratory/ Place</t>
  </si>
  <si>
    <t>Number of tests</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</si>
  <si>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</si>
  <si>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</si>
  <si>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</si>
  <si>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</si>
  <si>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</si>
  <si>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</si>
  <si>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</si>
  <si>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</si>
  <si>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</si>
  <si>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</si>
  <si>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</si>
  <si>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</si>
  <si>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</si>
  <si>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</si>
  <si>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</si>
  <si>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</si>
  <si>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</si>
  <si>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</si>
  <si>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</si>
  <si>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</si>
  <si>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</si>
  <si>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</si>
  <si>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</si>
  <si>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</si>
  <si>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</si>
  <si>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CONSULTANT'S REF. NUMBER   :</t>
  </si>
  <si>
    <t>+</t>
  </si>
  <si>
    <t>CLAIM</t>
  </si>
  <si>
    <t>MAXIMUM FOR "AGENT OF THE CLIENT"</t>
  </si>
  <si>
    <t xml:space="preserve"> Report: Time Based fees </t>
  </si>
  <si>
    <t>TYPE OF PROJECT:</t>
  </si>
  <si>
    <t>WORK ON ALTERATIONS TO EXISTING FACILITIES</t>
  </si>
  <si>
    <r>
      <t>2. Time Based fees:</t>
    </r>
    <r>
      <rPr>
        <b/>
        <sz val="11"/>
        <color indexed="10"/>
        <rFont val="Arial"/>
        <family val="2"/>
      </rPr>
      <t xml:space="preserve"> AGENT OF THE CLIENT</t>
    </r>
  </si>
  <si>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</si>
  <si>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</si>
  <si>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</si>
  <si>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</si>
  <si>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</si>
  <si>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</si>
  <si>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</si>
  <si>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</si>
  <si>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</si>
  <si>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</si>
  <si>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</si>
  <si>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</si>
  <si>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TOTAL VALUE OF ENGINEERING WORK :</t>
  </si>
  <si>
    <t>TOTAL VALUE OF WORKS :</t>
  </si>
  <si>
    <t>DATE OF INVOICE</t>
  </si>
  <si>
    <t>TOTAL FEE FOR WATER AND WASTE WATER TREATMENT WORKS ONLY</t>
  </si>
  <si>
    <t>INPUT VALUES FOR WATER AND WASTE WATER TREATMENT WORKS ONLY</t>
  </si>
  <si>
    <t>TOTAL BASIC FEE</t>
  </si>
  <si>
    <t>STAGE</t>
  </si>
  <si>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</si>
  <si>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</si>
  <si>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</si>
  <si>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</si>
  <si>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t>VALUE FOR CALCULATION PURPOSES</t>
  </si>
  <si>
    <t>BASIC FEE FOR WATER AND WASTE WATER TREATMENT WORKS</t>
  </si>
  <si>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</si>
  <si>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</si>
  <si>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</si>
  <si>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</si>
  <si>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</si>
  <si>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</si>
  <si>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</si>
  <si>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</si>
  <si>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</si>
  <si>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POSTAL ADDRESS:</t>
  </si>
  <si>
    <t>TELEPHONE &amp; FACSIMILE NUMBERS</t>
  </si>
  <si>
    <t>FEES CODE (YEAR)</t>
  </si>
  <si>
    <t>AGENT OF THE CLIENT (OHSA) (Only on Engineering project) (Y/N)</t>
  </si>
  <si>
    <t>Tel</t>
  </si>
  <si>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</si>
  <si>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</si>
  <si>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</si>
  <si>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</si>
  <si>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</si>
  <si>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</si>
  <si>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</si>
  <si>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</si>
  <si>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</si>
  <si>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WORK NOT AFFECTED BY ANY OTHER FACTORS.</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</si>
  <si>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</si>
  <si>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</si>
  <si>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</si>
  <si>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</si>
  <si>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</si>
  <si>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</si>
  <si>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</si>
  <si>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CONSTRUCTION MONITORING ONLY</t>
  </si>
  <si>
    <t>Cell</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</si>
  <si>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</si>
  <si>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</si>
  <si>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</si>
  <si>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</si>
  <si>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</si>
  <si>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</si>
  <si>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</si>
  <si>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</si>
  <si>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VALUE OF WORK COMPLETED NOT AFFECTED BY ANY FACTORS</t>
  </si>
  <si>
    <t>2. VALUE OF ALL ALTERATIONS TO EXISTING FACILITIES COMPLETED NOT AFFECTED BY ANY FACTOR OTHER THAN THE 1.25.</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</si>
  <si>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</si>
  <si>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</si>
  <si>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</si>
  <si>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</si>
  <si>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</si>
  <si>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</si>
  <si>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</si>
  <si>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</si>
  <si>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</si>
  <si>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</si>
  <si>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</si>
  <si>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</si>
  <si>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</si>
  <si>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</si>
  <si>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</si>
  <si>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</si>
  <si>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</si>
  <si>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</si>
  <si>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</si>
  <si>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</si>
  <si>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</si>
  <si>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</si>
  <si>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</si>
  <si>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</si>
  <si>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</si>
  <si>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</si>
  <si>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</si>
  <si>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</si>
  <si>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Toll Gates</t>
  </si>
  <si>
    <t>Typing Duplicating &amp; Printing TOTAL Excl VAT</t>
  </si>
  <si>
    <t>Site Staff &amp; Other Charges Total Excl VAT</t>
  </si>
  <si>
    <t>NOTE ALL ITEMS MUST EXCLUDE VAT</t>
  </si>
  <si>
    <t>NOTE: ALL ITEMS MUST INCLUDE VAT</t>
  </si>
  <si>
    <t>Travelling expenses Total</t>
  </si>
  <si>
    <t>Hours claimed</t>
  </si>
  <si>
    <t>TOTAL VALUE OF REINFORCED CONCRETE &amp; STRUCTURAL STEEL :</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</si>
  <si>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</si>
  <si>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</si>
  <si>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</si>
  <si>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</si>
  <si>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</si>
  <si>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</si>
  <si>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</si>
  <si>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PERCENTAGE OF FEE TENDERED</t>
  </si>
  <si>
    <t>DUE</t>
  </si>
  <si>
    <t>% OF STANDARD FEES TENDERED FOR PROFESSIONAL SERVICES</t>
  </si>
  <si>
    <t>(Not applicable in case of a tender for professional services)</t>
  </si>
  <si>
    <t>E-MAIL ADDRESS</t>
  </si>
  <si>
    <t>DRAWING NUMBER</t>
  </si>
  <si>
    <t>TEL NO</t>
  </si>
  <si>
    <t>CELL PHONE NO</t>
  </si>
  <si>
    <t>FACSIMILE  NO:</t>
  </si>
  <si>
    <t>COMPANY REGISTRATION NUMBER</t>
  </si>
  <si>
    <t>CLIENT</t>
  </si>
  <si>
    <t>POSTAL ADDRESS</t>
  </si>
  <si>
    <t>POST OFFICE</t>
  </si>
  <si>
    <t>POSTAL CODE</t>
  </si>
  <si>
    <t>STREET &amp; NO</t>
  </si>
  <si>
    <t>TOWN/CITY</t>
  </si>
  <si>
    <t>FAX NO</t>
  </si>
  <si>
    <t>INVOICE NO</t>
  </si>
  <si>
    <t>FAX-TO-EMAIL</t>
  </si>
  <si>
    <t>DRAWING NO:</t>
  </si>
  <si>
    <t>FILE NUMBER:</t>
  </si>
  <si>
    <t>VAT REGISTRATION NO:</t>
  </si>
  <si>
    <t>POST OFF</t>
  </si>
  <si>
    <t>TOWN</t>
  </si>
  <si>
    <t>BUILDING NAME</t>
  </si>
  <si>
    <t>TEL</t>
  </si>
  <si>
    <t>FAX</t>
  </si>
  <si>
    <t>FAX2</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</si>
  <si>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</si>
  <si>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</si>
  <si>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</si>
  <si>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</si>
  <si>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</si>
  <si>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</si>
  <si>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</si>
  <si>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</si>
  <si>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</si>
  <si>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</si>
  <si>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</si>
  <si>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</si>
  <si>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</si>
  <si>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</si>
  <si>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</si>
  <si>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</si>
  <si>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</si>
  <si>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</si>
  <si>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</si>
  <si>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</si>
  <si>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</si>
  <si>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</si>
  <si>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PROJECT NO:</t>
  </si>
  <si>
    <t>PROJECT NO</t>
  </si>
  <si>
    <t>SERVICE</t>
  </si>
  <si>
    <t>cse09</t>
  </si>
  <si>
    <t>ADDRESS</t>
  </si>
  <si>
    <t>Site Staff &amp; Other Charges Total Incl. VAT</t>
  </si>
  <si>
    <t>ENGINEERING PROJECT</t>
  </si>
  <si>
    <t>1. TOTAL REINFORCED CONCRETE &amp; STRUCTURAL STEEL WORK  BY THE ENGINEER APPROPRIATE TO CLAUSE 4.2.1 (2)  OF THE GAZETTE.</t>
  </si>
  <si>
    <t>1. VALUE OF REINFORCED CONCRETE &amp; STRUCTURAL STEEL WORK  COMPLETED APPROPRIATE TO CLAUSE 4.2.1 (2)  OF THE GAZETTE.</t>
  </si>
  <si>
    <t>VALUE OF ALL WORK COMPLETED, APPROPRIATE TO CLAUSE 4.2.1.(1) OF THE GAZETTE</t>
  </si>
  <si>
    <t>TOTAL PERCENTAGE BASED PROFESSIONAL FEES DUE</t>
  </si>
  <si>
    <t>WCS NO</t>
  </si>
  <si>
    <t>WCS NO:</t>
  </si>
  <si>
    <t xml:space="preserve">WCS NO: </t>
  </si>
  <si>
    <t>NATIONAL DEPARTMENT OF PUBLIC WORKS</t>
  </si>
  <si>
    <t>DPW PROJECT MANAGER</t>
  </si>
  <si>
    <t>DPW FILE NUMBER:</t>
  </si>
  <si>
    <t>WCS NUMBER</t>
  </si>
  <si>
    <t>WORKBOOK FOR THE CALCULATION OF CONSULTING ENGINEER'S FEES IN TERMS OF THE GUIDELINE FOR SERVICES AND FEES PUBLISHED BY ECSA AS AMENDED BY DPW</t>
  </si>
  <si>
    <t>TOTAL VALUE OF ALL WORK BY THE ENGINEER APPROPRIATE TO CLAUSE 4.2.1.(1) OF THE GAZETTE</t>
  </si>
  <si>
    <t>TOTAL VALUE OF ALL WORK BY THE ENGINEER APPROPRIATE TO CLAUSE 4.2.1.(1) OF THE GUIDELINE. (Carried over to the Main Input sheet)</t>
  </si>
  <si>
    <t>TOTAL VALUE OF ALL W &amp; WTW WORK COMPLETED, APPROPRIATE TO CLAUSE 4.2.1.(1) OF THE GAZETTE. Carried over to the "Main Input" sheet)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</si>
  <si>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</si>
  <si>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</si>
  <si>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</si>
  <si>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</si>
  <si>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see10</t>
  </si>
  <si>
    <t>DISCIPLINE APPOINTED</t>
  </si>
  <si>
    <t>CIVIL &amp; STRUCTURAL ENGINEERING</t>
  </si>
  <si>
    <t>Y</t>
  </si>
  <si>
    <t>(c) FEE FOR TARGETED/PREFERENTIAL PROCUREMENT</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</si>
  <si>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</si>
  <si>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</si>
  <si>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</si>
  <si>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</si>
  <si>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N</t>
  </si>
  <si>
    <t>WCS CONTRACT NUMBER</t>
  </si>
  <si>
    <t xml:space="preserve">CONSULTANT NAME </t>
  </si>
  <si>
    <t>%</t>
  </si>
  <si>
    <t>BASIC FEE (Clause 4.2.1 (1) of the Guideline)</t>
  </si>
  <si>
    <t>CALCULATIONS</t>
  </si>
  <si>
    <t>CLOSE OUT</t>
  </si>
  <si>
    <t>TOTAL PERCENTAGE BASED FEES FOR ALL STAGES ((a)+(b)+(c))</t>
  </si>
  <si>
    <t>TO</t>
  </si>
  <si>
    <t>WCS CONTRACT NO</t>
  </si>
  <si>
    <t>CONSULTANT REF</t>
  </si>
  <si>
    <t>WATER AND WASTEWATER TREATMENT WORKS AFFECTED BY THE 1.25 FACTOR</t>
  </si>
  <si>
    <t>CALCULATIONS FOR WATER AND WASTE WATER TREATMENT WORKS</t>
  </si>
  <si>
    <t>FROM</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</si>
  <si>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</si>
  <si>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</si>
  <si>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</si>
  <si>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</si>
  <si>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</si>
  <si>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</si>
  <si>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</si>
  <si>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</si>
  <si>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</si>
  <si>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</si>
  <si>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</si>
  <si>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</si>
  <si>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</si>
  <si>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</si>
  <si>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</si>
  <si>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</si>
  <si>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</si>
  <si>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</si>
  <si>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</si>
  <si>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</si>
  <si>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</si>
  <si>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Claim No</t>
  </si>
  <si>
    <t>Claim No:</t>
  </si>
  <si>
    <t>Previously claimed</t>
  </si>
  <si>
    <t>A6089/002/9</t>
  </si>
  <si>
    <t>CE 56789/001/6</t>
  </si>
  <si>
    <t>CONSULTANT OFFICE ADDRESS</t>
  </si>
  <si>
    <t>OFFICE ADDRESS/ BUILDING NAME</t>
  </si>
  <si>
    <t>Paul Mashinga</t>
  </si>
  <si>
    <t>Paul.mashinga@dpw.gov.za</t>
  </si>
  <si>
    <t>012 337 2345</t>
  </si>
  <si>
    <t>082 699 3459</t>
  </si>
  <si>
    <t>John Engineer CC</t>
  </si>
  <si>
    <t>P O Box 11111, Boksburg</t>
  </si>
  <si>
    <t>Brightstar building 214, Peach str 1023, Boksburg</t>
  </si>
  <si>
    <t>011 769 3456</t>
  </si>
  <si>
    <t>011 769 3011</t>
  </si>
  <si>
    <t>je@telkom.net</t>
  </si>
  <si>
    <t>400-45678-10</t>
  </si>
  <si>
    <t>CODE</t>
  </si>
  <si>
    <t>OFFICE ADDRESS.</t>
  </si>
  <si>
    <t>12345678</t>
  </si>
  <si>
    <t>TARGETED PROCUREMENT (Y/N)</t>
  </si>
  <si>
    <r>
      <t xml:space="preserve">1. TOTAL COST OF THE WORKS COMPRISING THE PROJECT COMPLETED, DURING CONSTRUCTION &amp; COMPLETION STAGES INCLUDING P&amp;G &amp; CPA. </t>
    </r>
    <r>
      <rPr>
        <b/>
        <sz val="11"/>
        <color indexed="10"/>
        <rFont val="Arial"/>
        <family val="2"/>
      </rPr>
      <t>(Only if the engineer is appointed as principal agent)</t>
    </r>
  </si>
  <si>
    <t>CONSULTANT</t>
  </si>
  <si>
    <t>Private Bag X65</t>
  </si>
  <si>
    <t>PRETORIA</t>
  </si>
  <si>
    <t>0001</t>
  </si>
  <si>
    <t>Public Works House</t>
  </si>
  <si>
    <t>Pretorius Street 445</t>
  </si>
  <si>
    <t>0002</t>
  </si>
  <si>
    <t>012 337 2000</t>
  </si>
  <si>
    <t>012 337 3276</t>
  </si>
  <si>
    <t>086 666 0000</t>
  </si>
  <si>
    <t>Nelspruit Police Station</t>
  </si>
  <si>
    <t>082 344 6756</t>
  </si>
  <si>
    <t>086 610 0300</t>
  </si>
  <si>
    <t>Service DPW567/102</t>
  </si>
  <si>
    <t>CONSULTING ENG.</t>
  </si>
  <si>
    <t>FAX 1</t>
  </si>
  <si>
    <t xml:space="preserve">    TAX INVOICE</t>
  </si>
  <si>
    <r>
      <t>CONTRACT ADMINISTRATION &amp; INSPECTION AND CLOSE-OUT STAGES</t>
    </r>
    <r>
      <rPr>
        <b/>
        <i/>
        <sz val="14"/>
        <color indexed="10"/>
        <rFont val="Arial"/>
        <family val="2"/>
      </rPr>
      <t xml:space="preserve"> (INTERIM PAYMENTS)                                                                                                   ALL VALUES MUST INCLUDE RELEVANT PROPORTION OF P&amp;G AND CPA</t>
    </r>
  </si>
  <si>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</si>
  <si>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DPW/001</t>
  </si>
  <si>
    <t>CONSULTING ENGINEER</t>
  </si>
  <si>
    <t>PAGE II OF INPUT DATA</t>
  </si>
  <si>
    <r>
      <t>INCEPTION,  PRELIMINARY DESIGN: CONCEPT AND VIABILITY,  DETAIL DESIGN, DOCUMENTATION AND PROCUREMENT STAGES, ALL VALUES MUST INCLUDE RELEVANT PROPORTION OF P&amp;G AND CPA DURING CONSTRUCTION STAGE.</t>
    </r>
    <r>
      <rPr>
        <b/>
        <i/>
        <sz val="12"/>
        <color indexed="10"/>
        <rFont val="Arial"/>
        <family val="2"/>
      </rPr>
      <t>AND ARE AFFECTED BY THE ADDIONAL FEE FACTOR OF 1.25.</t>
    </r>
  </si>
  <si>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THE ADDIONAL FEE FACTOR OF 1.25.</t>
    </r>
  </si>
  <si>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</si>
  <si>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</si>
  <si>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(D) FINAL MEASURED VALUES INCL. CPA &amp; P&amp;G </t>
    </r>
    <r>
      <rPr>
        <b/>
        <sz val="11"/>
        <color indexed="10"/>
        <rFont val="Arial"/>
        <family val="2"/>
      </rPr>
      <t>(STAGE 6 ONLY)</t>
    </r>
  </si>
  <si>
    <t>CONSULTING ENG</t>
  </si>
  <si>
    <t>TENDER VALUES</t>
  </si>
  <si>
    <t>SCALE_2011SE1</t>
  </si>
  <si>
    <t>SCALE_2011SE2</t>
  </si>
  <si>
    <t>2011 Scales</t>
  </si>
  <si>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t>
    </r>
  </si>
  <si>
    <t xml:space="preserve">CIVIL &amp; STRUCTURAL ENGINEERING  </t>
  </si>
  <si>
    <t>ENGINEERING PROJECT:  2011 NDPW FEES</t>
  </si>
  <si>
    <t/>
  </si>
  <si>
    <t>PERCENTAGE BASED FEES</t>
  </si>
  <si>
    <t>STAGE COMPLETED</t>
  </si>
  <si>
    <t>Fee in accordance with the National Department of Public Works Scope of Engineering Services and Tariff of Fees for Persons Registered in terms of the Engineering Profession Act, 2000 (Act No. 46 of 2000) dated 1 March 2011</t>
  </si>
  <si>
    <t>ESTIMATES ONLY</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</si>
  <si>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</si>
  <si>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</si>
  <si>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</si>
  <si>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</si>
  <si>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</si>
  <si>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</si>
  <si>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</si>
  <si>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COMMENTS</t>
  </si>
  <si>
    <t>ADDITIONAL FEE FOR REINFORCED CONCRETE &amp; STRUCTURAL STEEL. (Clause 4.2.1 (2))</t>
  </si>
  <si>
    <t>Rate (R)</t>
  </si>
  <si>
    <t>Tariff (R)</t>
  </si>
  <si>
    <t>Approved rate (R)</t>
  </si>
  <si>
    <t>PENALTY APPLIED</t>
  </si>
  <si>
    <t>Yes</t>
  </si>
  <si>
    <t>NOT REGISTERED</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</si>
  <si>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</si>
  <si>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</si>
  <si>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</si>
  <si>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</si>
  <si>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</si>
  <si>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</si>
  <si>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</si>
  <si>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</si>
  <si>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</si>
  <si>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</si>
  <si>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</si>
  <si>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</si>
  <si>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</si>
  <si>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</si>
  <si>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</si>
  <si>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LESS PENALTY</t>
  </si>
  <si>
    <r>
      <t xml:space="preserve">(A) ESTIMATED OR TENDER VALUES </t>
    </r>
    <r>
      <rPr>
        <sz val="11"/>
        <color indexed="10"/>
        <rFont val="Arial"/>
        <family val="2"/>
      </rPr>
      <t>(STAGES 1 -4)</t>
    </r>
  </si>
  <si>
    <r>
      <t xml:space="preserve">(B) ESTIMATED VALUE FOR DESIGN FEES DURING CONSTRUCTION </t>
    </r>
    <r>
      <rPr>
        <sz val="11"/>
        <color indexed="10"/>
        <rFont val="Arial"/>
        <family val="2"/>
      </rPr>
      <t>(STAGE 5)</t>
    </r>
  </si>
  <si>
    <r>
      <t xml:space="preserve">(D) FINAL MEASURED VALUES INCL. CPA &amp; P&amp;G </t>
    </r>
    <r>
      <rPr>
        <sz val="11"/>
        <color indexed="10"/>
        <rFont val="Arial"/>
        <family val="2"/>
      </rPr>
      <t>(STAGE 6 ONLY)</t>
    </r>
  </si>
  <si>
    <t>No</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</si>
  <si>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</si>
  <si>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</si>
  <si>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</si>
  <si>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</si>
  <si>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</si>
  <si>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</si>
  <si>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</si>
  <si>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</si>
  <si>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</si>
  <si>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</si>
  <si>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</si>
  <si>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</si>
  <si>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</si>
  <si>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</si>
  <si>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</si>
  <si>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</si>
  <si>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</si>
  <si>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</si>
  <si>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</si>
  <si>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</si>
  <si>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</si>
  <si>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</si>
  <si>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</si>
  <si>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</si>
  <si>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</si>
  <si>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</si>
  <si>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</si>
  <si>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</si>
  <si>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</si>
  <si>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</si>
  <si>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</si>
  <si>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</si>
  <si>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</si>
  <si>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</si>
  <si>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</si>
  <si>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</si>
  <si>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</si>
  <si>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</si>
  <si>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</si>
  <si>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</si>
  <si>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</si>
  <si>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</si>
  <si>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</si>
  <si>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</si>
  <si>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</si>
  <si>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</si>
  <si>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</si>
  <si>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</si>
  <si>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</si>
  <si>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</si>
  <si>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</si>
  <si>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</si>
  <si>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</si>
  <si>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</si>
  <si>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</si>
  <si>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</si>
  <si>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</si>
  <si>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</si>
  <si>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</si>
  <si>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</si>
  <si>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</si>
  <si>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</si>
  <si>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</si>
  <si>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</si>
  <si>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</si>
  <si>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</si>
  <si>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</si>
  <si>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</si>
  <si>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Rate</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</si>
  <si>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</si>
  <si>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</si>
  <si>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</si>
  <si>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</si>
  <si>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</si>
  <si>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</si>
  <si>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</si>
  <si>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</si>
  <si>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</si>
  <si>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</si>
  <si>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</si>
  <si>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</si>
  <si>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</si>
  <si>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</si>
  <si>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</si>
  <si>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</si>
  <si>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</si>
  <si>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</si>
  <si>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</si>
  <si>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</si>
  <si>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</si>
  <si>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</si>
  <si>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</si>
  <si>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</si>
  <si>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</si>
  <si>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</si>
  <si>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</si>
  <si>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</si>
  <si>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</si>
  <si>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</si>
  <si>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</si>
  <si>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</si>
  <si>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</si>
  <si>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</si>
  <si>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</si>
  <si>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</si>
  <si>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</si>
  <si>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</si>
  <si>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</si>
  <si>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</si>
  <si>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</si>
  <si>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</si>
  <si>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</si>
  <si>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</si>
  <si>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</si>
  <si>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</si>
  <si>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</si>
  <si>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</si>
  <si>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</si>
  <si>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</si>
  <si>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</si>
  <si>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</si>
  <si>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</si>
  <si>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</si>
  <si>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</si>
  <si>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</si>
  <si>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</si>
  <si>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</si>
  <si>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</si>
  <si>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</si>
  <si>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</si>
  <si>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</si>
  <si>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</si>
  <si>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</si>
  <si>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</si>
  <si>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</si>
  <si>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</si>
  <si>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</si>
  <si>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</si>
  <si>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</si>
  <si>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</si>
  <si>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</si>
  <si>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</si>
  <si>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</si>
  <si>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</si>
  <si>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</si>
  <si>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</si>
  <si>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</si>
  <si>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</si>
  <si>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</si>
  <si>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</si>
  <si>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</si>
  <si>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</si>
  <si>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</si>
  <si>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</si>
  <si>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</si>
  <si>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</si>
  <si>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</si>
  <si>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</si>
  <si>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</si>
  <si>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</si>
  <si>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</si>
  <si>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</si>
  <si>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</si>
  <si>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</si>
  <si>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</si>
  <si>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</si>
  <si>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</si>
  <si>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</si>
  <si>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</si>
  <si>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</si>
  <si>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</si>
  <si>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Version: 1.2  2012-10</t>
  </si>
  <si>
    <t>PLEASE READ THE NOTES (1st SHEET) BEFORE STARTING TO POPULATE THE SHEETS. COMPLETE ALL YELLOW CELLS!!!</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</si>
  <si>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</si>
  <si>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</si>
  <si>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</si>
  <si>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</si>
  <si>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</si>
  <si>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</si>
  <si>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</si>
  <si>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</si>
  <si>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</si>
  <si>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</si>
  <si>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</si>
  <si>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</si>
  <si>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</si>
  <si>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INCEPTION</t>
  </si>
  <si>
    <t>PREVIOUS CLAIMS</t>
  </si>
  <si>
    <t>3. Subsistence Charges [See your letter of appointment. Use either Table 4 or Table 5, not both]</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</si>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</sst>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R&quot;\ #,##0;[Red]&quot;R&quot;\ \-#,##0"/>
    <numFmt numFmtId="42" formatCode="_ &quot;R&quot;\ * #,##0_ ;_ &quot;R&quot;\ * \-#,##0_ ;_ &quot;R&quot;\ * &quot;-&quot;_ ;_ @_ "/>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dd\ mmmm\ yyyy"/>
    <numFmt numFmtId="175" formatCode="0.000"/>
    <numFmt numFmtId="176" formatCode="dd\-mmm\-yyyy"/>
    <numFmt numFmtId="177" formatCode="000000"/>
    <numFmt numFmtId="178" formatCode="0000"/>
    <numFmt numFmtId="179" formatCode="000"/>
    <numFmt numFmtId="180" formatCode="00"/>
    <numFmt numFmtId="181" formatCode="0.0"/>
    <numFmt numFmtId="182" formatCode="[$R-1C09]\ #,##0.00"/>
  </numFmts>
  <fonts count="12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b/>
      <sz val="12"/>
      <color indexed="10"/>
      <name val="Arial"/>
      <family val="2"/>
    </font>
    <font>
      <b/>
      <i/>
      <sz val="12"/>
      <color indexed="10"/>
      <name val="Arial"/>
      <family val="2"/>
    </font>
    <font>
      <i/>
      <sz val="10"/>
      <name val="Arial"/>
      <family val="2"/>
    </font>
    <font>
      <b/>
      <i/>
      <sz val="10"/>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sz val="11"/>
      <name val="Arial"/>
      <family val="2"/>
    </font>
    <font>
      <i/>
      <sz val="14"/>
      <name val="Arial"/>
      <family val="2"/>
    </font>
    <font>
      <b/>
      <sz val="20"/>
      <color indexed="10"/>
      <name val="Arial"/>
      <family val="2"/>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sz val="16"/>
      <name val="Arial"/>
      <family val="2"/>
    </font>
    <font>
      <sz val="9"/>
      <name val="Arial"/>
      <family val="2"/>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18"/>
      <color indexed="60"/>
      <name val="Arial"/>
      <family val="2"/>
    </font>
    <font>
      <sz val="12"/>
      <color indexed="60"/>
      <name val="Arial"/>
      <family val="2"/>
    </font>
    <font>
      <b/>
      <sz val="11"/>
      <color indexed="15"/>
      <name val="Arial"/>
      <family val="2"/>
    </font>
    <font>
      <sz val="11"/>
      <color indexed="41"/>
      <name val="Arial"/>
      <family val="2"/>
    </font>
    <font>
      <sz val="11"/>
      <color indexed="15"/>
      <name val="Arial"/>
      <family val="2"/>
    </font>
    <font>
      <b/>
      <sz val="22"/>
      <color indexed="57"/>
      <name val="Arial"/>
      <family val="2"/>
    </font>
    <font>
      <b/>
      <sz val="11"/>
      <color indexed="17"/>
      <name val="Arial"/>
      <family val="2"/>
    </font>
    <font>
      <i/>
      <sz val="11"/>
      <color indexed="12"/>
      <name val="Arial"/>
      <family val="2"/>
    </font>
    <font>
      <b/>
      <sz val="12"/>
      <color indexed="58"/>
      <name val="Arial"/>
      <family val="2"/>
    </font>
    <font>
      <b/>
      <sz val="14"/>
      <name val="Arial"/>
      <family val="2"/>
    </font>
    <font>
      <sz val="12"/>
      <color indexed="22"/>
      <name val="Courier"/>
      <family val="3"/>
    </font>
    <font>
      <b/>
      <sz val="18"/>
      <color indexed="12"/>
      <name val="Arial"/>
      <family val="2"/>
    </font>
    <font>
      <sz val="18"/>
      <color indexed="12"/>
      <name val="Arial"/>
      <family val="2"/>
    </font>
    <font>
      <b/>
      <sz val="16"/>
      <color indexed="16"/>
      <name val="Arial"/>
      <family val="2"/>
    </font>
    <font>
      <sz val="16"/>
      <color indexed="16"/>
      <name val="Arial"/>
      <family val="2"/>
    </font>
    <font>
      <sz val="11"/>
      <color indexed="17"/>
      <name val="Arial"/>
      <family val="2"/>
    </font>
    <font>
      <sz val="8"/>
      <name val="Arial"/>
      <family val="2"/>
    </font>
    <font>
      <b/>
      <u/>
      <sz val="16"/>
      <name val="Arial"/>
      <family val="2"/>
    </font>
    <font>
      <b/>
      <sz val="10"/>
      <color indexed="16"/>
      <name val="Arial"/>
      <family val="2"/>
    </font>
    <font>
      <b/>
      <u/>
      <sz val="18"/>
      <name val="Arial"/>
      <family val="2"/>
    </font>
    <font>
      <b/>
      <i/>
      <sz val="10"/>
      <color indexed="8"/>
      <name val="Arial"/>
      <family val="2"/>
    </font>
    <font>
      <sz val="9"/>
      <color indexed="8"/>
      <name val="Arial"/>
      <family val="2"/>
    </font>
    <font>
      <u/>
      <sz val="12"/>
      <name val="Arial"/>
      <family val="2"/>
    </font>
    <font>
      <b/>
      <u/>
      <sz val="14"/>
      <name val="Arial"/>
      <family val="2"/>
    </font>
    <font>
      <sz val="14"/>
      <color indexed="12"/>
      <name val="Arial"/>
      <family val="2"/>
    </font>
    <font>
      <sz val="18"/>
      <name val="Arial"/>
      <family val="2"/>
    </font>
    <font>
      <sz val="10"/>
      <color indexed="41"/>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b/>
      <sz val="14"/>
      <color indexed="58"/>
      <name val="Arial"/>
      <family val="2"/>
    </font>
    <font>
      <b/>
      <i/>
      <sz val="14"/>
      <color indexed="10"/>
      <name val="Arial"/>
      <family val="2"/>
    </font>
    <font>
      <b/>
      <i/>
      <sz val="14"/>
      <name val="Arial"/>
      <family val="2"/>
    </font>
    <font>
      <b/>
      <sz val="14"/>
      <color indexed="10"/>
      <name val="Arial"/>
      <family val="2"/>
    </font>
    <font>
      <sz val="12"/>
      <color indexed="10"/>
      <name val="Tahoma"/>
      <family val="2"/>
    </font>
    <font>
      <sz val="10"/>
      <color indexed="10"/>
      <name val="Tahoma"/>
      <family val="2"/>
    </font>
    <font>
      <sz val="14"/>
      <color indexed="10"/>
      <name val="Courier"/>
      <family val="3"/>
    </font>
    <font>
      <sz val="10"/>
      <color indexed="12"/>
      <name val="Arial"/>
      <family val="2"/>
    </font>
    <font>
      <sz val="11"/>
      <color indexed="9"/>
      <name val="Arial"/>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sz val="12"/>
      <name val="Courier"/>
      <family val="3"/>
    </font>
    <font>
      <b/>
      <u/>
      <sz val="10"/>
      <name val="Arial"/>
      <family val="2"/>
    </font>
    <font>
      <u/>
      <sz val="10"/>
      <name val="Arial"/>
      <family val="2"/>
    </font>
    <font>
      <b/>
      <sz val="11"/>
      <color rgb="FF1F497D"/>
      <name val="Arial"/>
      <family val="2"/>
    </font>
    <font>
      <sz val="10"/>
      <name val="Courier"/>
      <family val="3"/>
    </font>
    <font>
      <sz val="11"/>
      <color rgb="FF1F497D"/>
      <name val="Arial"/>
      <family val="2"/>
    </font>
    <font>
      <b/>
      <sz val="10"/>
      <name val="Courier"/>
      <family val="3"/>
    </font>
    <font>
      <b/>
      <i/>
      <sz val="10"/>
      <color rgb="FFFF0000"/>
      <name val="Arial"/>
      <family val="2"/>
    </font>
    <font>
      <u/>
      <sz val="12"/>
      <color rgb="FFFF0000"/>
      <name val="Arial"/>
      <family val="2"/>
    </font>
  </fonts>
  <fills count="14">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lightTrellis"/>
    </fill>
    <fill>
      <patternFill patternType="solid">
        <fgColor indexed="13"/>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52"/>
        <bgColor indexed="64"/>
      </patternFill>
    </fill>
    <fill>
      <patternFill patternType="solid">
        <fgColor indexed="41"/>
        <bgColor indexed="64"/>
      </patternFill>
    </fill>
    <fill>
      <patternFill patternType="solid">
        <fgColor theme="0" tint="-4.9989318521683403E-2"/>
        <bgColor indexed="64"/>
      </patternFill>
    </fill>
  </fills>
  <borders count="228">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diagonal/>
    </border>
    <border>
      <left/>
      <right/>
      <top/>
      <bottom style="thin">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style="thin">
        <color indexed="64"/>
      </right>
      <top style="medium">
        <color indexed="64"/>
      </top>
      <bottom/>
      <diagonal/>
    </border>
    <border>
      <left style="double">
        <color indexed="64"/>
      </left>
      <right style="thin">
        <color indexed="64"/>
      </right>
      <top style="double">
        <color indexed="64"/>
      </top>
      <bottom/>
      <diagonal/>
    </border>
    <border>
      <left style="double">
        <color indexed="64"/>
      </left>
      <right/>
      <top style="dashed">
        <color indexed="64"/>
      </top>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double">
        <color indexed="64"/>
      </top>
      <bottom/>
      <diagonal/>
    </border>
    <border>
      <left/>
      <right style="double">
        <color indexed="64"/>
      </right>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medium">
        <color indexed="64"/>
      </bottom>
      <diagonal/>
    </border>
    <border>
      <left style="double">
        <color indexed="64"/>
      </left>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8"/>
      </left>
      <right/>
      <top/>
      <bottom style="double">
        <color indexed="64"/>
      </bottom>
      <diagonal/>
    </border>
    <border>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dashed">
        <color indexed="64"/>
      </bottom>
      <diagonal/>
    </border>
    <border>
      <left/>
      <right style="double">
        <color indexed="64"/>
      </right>
      <top/>
      <bottom style="dashed">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8"/>
      </right>
      <top/>
      <bottom style="double">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4" fillId="0" borderId="0"/>
    <xf numFmtId="0" fontId="13" fillId="0" borderId="0"/>
    <xf numFmtId="9" fontId="1" fillId="0" borderId="0" applyFont="0" applyFill="0" applyBorder="0" applyAlignment="0" applyProtection="0"/>
    <xf numFmtId="167" fontId="2" fillId="0" borderId="1">
      <protection locked="0"/>
    </xf>
  </cellStyleXfs>
  <cellXfs count="1922">
    <xf numFmtId="0" fontId="0" fillId="0" borderId="0" xfId="0"/>
    <xf numFmtId="0" fontId="5" fillId="0" borderId="0" xfId="0" applyFont="1" applyFill="1" applyBorder="1" applyProtection="1"/>
    <xf numFmtId="0" fontId="0" fillId="0" borderId="0" xfId="0" applyBorder="1"/>
    <xf numFmtId="0" fontId="16" fillId="0" borderId="0" xfId="0" applyFont="1"/>
    <xf numFmtId="0" fontId="16" fillId="0" borderId="0" xfId="0" applyFont="1" applyBorder="1" applyAlignment="1" applyProtection="1">
      <alignment horizontal="left" vertical="center"/>
    </xf>
    <xf numFmtId="0" fontId="16"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9" fontId="6" fillId="0" borderId="2" xfId="0" applyNumberFormat="1" applyFont="1" applyFill="1" applyBorder="1" applyAlignment="1" applyProtection="1">
      <alignment vertical="center" wrapText="1"/>
    </xf>
    <xf numFmtId="0" fontId="0" fillId="0" borderId="0" xfId="0" applyAlignment="1">
      <alignment horizontal="lef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Fill="1" applyBorder="1" applyAlignment="1" applyProtection="1">
      <alignment horizontal="right" vertical="center"/>
    </xf>
    <xf numFmtId="0" fontId="4" fillId="0" borderId="8"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29" fillId="0" borderId="6" xfId="0" applyFont="1" applyBorder="1" applyAlignment="1" applyProtection="1">
      <alignment vertical="center"/>
    </xf>
    <xf numFmtId="0" fontId="0" fillId="0" borderId="0" xfId="0" applyBorder="1" applyAlignment="1">
      <alignment vertical="center"/>
    </xf>
    <xf numFmtId="0" fontId="6" fillId="0" borderId="6" xfId="0" applyFont="1" applyFill="1" applyBorder="1" applyAlignment="1" applyProtection="1">
      <alignment vertical="center"/>
    </xf>
    <xf numFmtId="0" fontId="14" fillId="0" borderId="0" xfId="0" applyFont="1" applyBorder="1" applyAlignment="1" applyProtection="1">
      <alignment vertical="center"/>
    </xf>
    <xf numFmtId="0" fontId="17" fillId="0" borderId="2"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49"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8"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0" fontId="38" fillId="0" borderId="0" xfId="0" applyNumberFormat="1" applyFont="1" applyFill="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38"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0" fontId="4" fillId="0" borderId="6" xfId="0" applyNumberFormat="1" applyFont="1" applyBorder="1" applyAlignment="1" applyProtection="1">
      <alignment vertical="center"/>
    </xf>
    <xf numFmtId="170" fontId="4" fillId="0" borderId="6" xfId="0" applyNumberFormat="1" applyFont="1" applyFill="1" applyBorder="1" applyAlignment="1" applyProtection="1">
      <alignment vertical="center"/>
    </xf>
    <xf numFmtId="172" fontId="4" fillId="0" borderId="6" xfId="15" applyNumberFormat="1" applyFont="1" applyFill="1" applyBorder="1" applyAlignment="1" applyProtection="1">
      <alignment vertical="center"/>
    </xf>
    <xf numFmtId="170" fontId="4" fillId="0" borderId="6"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2" fontId="5" fillId="0" borderId="0" xfId="15"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7" fillId="0" borderId="6" xfId="0" applyFont="1" applyBorder="1" applyAlignment="1" applyProtection="1">
      <alignment vertical="center"/>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5" applyFont="1" applyFill="1" applyBorder="1" applyAlignment="1" applyProtection="1">
      <alignment vertical="center"/>
    </xf>
    <xf numFmtId="170" fontId="5" fillId="0" borderId="6" xfId="0" applyNumberFormat="1" applyFont="1" applyFill="1" applyBorder="1" applyAlignment="1" applyProtection="1">
      <alignment vertical="center"/>
    </xf>
    <xf numFmtId="170" fontId="5" fillId="0" borderId="6" xfId="0" applyNumberFormat="1" applyFont="1" applyFill="1" applyBorder="1" applyAlignment="1" applyProtection="1">
      <alignment horizontal="center" vertical="center"/>
    </xf>
    <xf numFmtId="170" fontId="4" fillId="0" borderId="12" xfId="0" applyNumberFormat="1" applyFont="1" applyFill="1" applyBorder="1" applyAlignment="1" applyProtection="1">
      <alignment vertical="center"/>
    </xf>
    <xf numFmtId="170" fontId="5" fillId="0" borderId="4"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horizontal="left" vertical="center"/>
    </xf>
    <xf numFmtId="0" fontId="5" fillId="0" borderId="10" xfId="0" applyFont="1" applyFill="1" applyBorder="1" applyAlignment="1" applyProtection="1">
      <alignment vertical="center"/>
    </xf>
    <xf numFmtId="0" fontId="49" fillId="0" borderId="2" xfId="0" applyFont="1" applyFill="1" applyBorder="1" applyAlignment="1" applyProtection="1">
      <alignment vertical="center"/>
    </xf>
    <xf numFmtId="169"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4" fillId="0" borderId="4" xfId="0" applyFont="1" applyBorder="1" applyAlignment="1" applyProtection="1">
      <alignment vertical="center"/>
    </xf>
    <xf numFmtId="9" fontId="5" fillId="0" borderId="4" xfId="15" applyFont="1" applyFill="1" applyBorder="1" applyAlignment="1" applyProtection="1">
      <alignment vertical="center"/>
    </xf>
    <xf numFmtId="170" fontId="4" fillId="0" borderId="4"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164" fontId="5" fillId="0" borderId="0" xfId="0" applyNumberFormat="1"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165" fontId="5" fillId="0" borderId="10"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vertical="center"/>
    </xf>
    <xf numFmtId="0" fontId="4" fillId="0" borderId="8" xfId="0" applyFont="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Border="1" applyAlignment="1" applyProtection="1">
      <alignment vertical="center"/>
    </xf>
    <xf numFmtId="0" fontId="4" fillId="0" borderId="7" xfId="0" applyFont="1" applyBorder="1" applyAlignment="1" applyProtection="1">
      <alignment vertical="center"/>
    </xf>
    <xf numFmtId="0" fontId="4" fillId="0" borderId="2" xfId="0" applyFont="1" applyBorder="1" applyAlignment="1" applyProtection="1">
      <alignment horizontal="center" vertical="center"/>
    </xf>
    <xf numFmtId="1" fontId="29" fillId="0" borderId="0" xfId="0" applyNumberFormat="1" applyFont="1" applyBorder="1" applyAlignment="1" applyProtection="1">
      <alignment horizontal="center" vertical="center"/>
    </xf>
    <xf numFmtId="0" fontId="29" fillId="0" borderId="0" xfId="0" applyFont="1" applyBorder="1" applyAlignment="1" applyProtection="1">
      <alignment vertical="center"/>
    </xf>
    <xf numFmtId="0" fontId="29" fillId="0" borderId="8" xfId="0" applyFont="1" applyBorder="1" applyAlignment="1" applyProtection="1">
      <alignment vertical="center"/>
    </xf>
    <xf numFmtId="0" fontId="7" fillId="0" borderId="7" xfId="0" applyFont="1" applyBorder="1" applyAlignment="1" applyProtection="1">
      <alignment vertical="center"/>
    </xf>
    <xf numFmtId="0" fontId="39" fillId="0" borderId="6" xfId="0" applyFont="1" applyBorder="1" applyAlignment="1" applyProtection="1">
      <alignment vertical="center"/>
    </xf>
    <xf numFmtId="1" fontId="29" fillId="0" borderId="6" xfId="0" applyNumberFormat="1" applyFont="1" applyBorder="1" applyAlignment="1" applyProtection="1">
      <alignment horizontal="left" vertical="center"/>
    </xf>
    <xf numFmtId="0" fontId="7" fillId="0" borderId="6" xfId="0" applyFont="1" applyFill="1" applyBorder="1" applyAlignment="1" applyProtection="1">
      <alignment horizontal="left" vertical="center"/>
    </xf>
    <xf numFmtId="0" fontId="29" fillId="0" borderId="6" xfId="0" applyFont="1" applyBorder="1" applyAlignment="1" applyProtection="1">
      <alignment horizontal="left" vertical="center"/>
    </xf>
    <xf numFmtId="9" fontId="45" fillId="0" borderId="2" xfId="0" applyNumberFormat="1" applyFont="1" applyFill="1" applyBorder="1" applyAlignment="1" applyProtection="1">
      <alignment vertical="center"/>
    </xf>
    <xf numFmtId="170" fontId="4" fillId="0" borderId="0" xfId="0" applyNumberFormat="1" applyFont="1" applyBorder="1" applyAlignment="1" applyProtection="1">
      <alignment horizontal="center" vertical="center"/>
    </xf>
    <xf numFmtId="0" fontId="45" fillId="0" borderId="2"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14" fillId="0" borderId="0" xfId="0" applyFont="1" applyBorder="1" applyAlignment="1">
      <alignment vertical="center"/>
    </xf>
    <xf numFmtId="0" fontId="50" fillId="0" borderId="0" xfId="0" applyFont="1" applyAlignment="1">
      <alignment vertical="center"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14" fillId="0" borderId="8" xfId="0" applyFont="1" applyBorder="1" applyAlignment="1">
      <alignment vertical="center"/>
    </xf>
    <xf numFmtId="0" fontId="38" fillId="0" borderId="0" xfId="0" applyFont="1" applyBorder="1" applyAlignment="1" applyProtection="1">
      <alignment vertical="center"/>
    </xf>
    <xf numFmtId="2" fontId="4" fillId="0" borderId="0" xfId="0" applyNumberFormat="1" applyFont="1" applyFill="1" applyBorder="1" applyAlignment="1" applyProtection="1">
      <alignment horizontal="center" vertical="center"/>
    </xf>
    <xf numFmtId="2" fontId="5" fillId="0" borderId="4"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170" fontId="6" fillId="0" borderId="0" xfId="0" applyNumberFormat="1"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6" xfId="0" applyFont="1" applyBorder="1" applyAlignment="1">
      <alignment vertical="center"/>
    </xf>
    <xf numFmtId="0" fontId="16" fillId="2" borderId="11" xfId="0" applyFont="1" applyFill="1" applyBorder="1" applyAlignment="1" applyProtection="1">
      <alignment vertical="center"/>
    </xf>
    <xf numFmtId="0" fontId="16" fillId="2" borderId="6" xfId="0" applyFont="1" applyFill="1" applyBorder="1" applyAlignment="1" applyProtection="1">
      <alignment vertical="center"/>
    </xf>
    <xf numFmtId="0" fontId="25" fillId="0" borderId="0" xfId="0" applyFont="1" applyBorder="1" applyAlignment="1" applyProtection="1">
      <alignment vertical="center"/>
    </xf>
    <xf numFmtId="0" fontId="6" fillId="0" borderId="0" xfId="0" applyFont="1" applyFill="1" applyBorder="1" applyAlignment="1" applyProtection="1">
      <alignment horizontal="right" vertical="center"/>
    </xf>
    <xf numFmtId="0" fontId="47" fillId="0" borderId="0" xfId="0" applyFont="1" applyBorder="1" applyAlignment="1" applyProtection="1">
      <alignment vertical="center"/>
    </xf>
    <xf numFmtId="9" fontId="49" fillId="0" borderId="2" xfId="0" applyNumberFormat="1" applyFont="1" applyFill="1" applyBorder="1" applyAlignment="1" applyProtection="1">
      <alignment vertical="center"/>
    </xf>
    <xf numFmtId="0" fontId="14" fillId="0" borderId="0" xfId="0" applyFont="1"/>
    <xf numFmtId="49" fontId="14" fillId="0" borderId="0" xfId="0" applyNumberFormat="1" applyFont="1"/>
    <xf numFmtId="0" fontId="19" fillId="0" borderId="0" xfId="0" applyFont="1" applyFill="1" applyBorder="1" applyAlignment="1" applyProtection="1">
      <alignment horizontal="center" vertical="center"/>
    </xf>
    <xf numFmtId="0" fontId="19" fillId="0" borderId="0" xfId="0" applyFont="1" applyBorder="1" applyAlignment="1" applyProtection="1">
      <alignment vertical="center"/>
    </xf>
    <xf numFmtId="9" fontId="19" fillId="0" borderId="0" xfId="15" applyFont="1" applyFill="1" applyBorder="1" applyAlignment="1" applyProtection="1">
      <alignment vertical="center"/>
    </xf>
    <xf numFmtId="0" fontId="19" fillId="0" borderId="0" xfId="0" applyFont="1" applyFill="1" applyBorder="1" applyAlignment="1" applyProtection="1">
      <alignment vertical="center"/>
    </xf>
    <xf numFmtId="170" fontId="19" fillId="0" borderId="0" xfId="0" applyNumberFormat="1" applyFont="1" applyBorder="1" applyAlignment="1" applyProtection="1">
      <alignment vertical="center"/>
    </xf>
    <xf numFmtId="170" fontId="19" fillId="0" borderId="0" xfId="0" applyNumberFormat="1" applyFont="1" applyFill="1" applyBorder="1" applyAlignment="1" applyProtection="1">
      <alignment horizontal="center" vertical="center"/>
    </xf>
    <xf numFmtId="170" fontId="19" fillId="0" borderId="0" xfId="0" applyNumberFormat="1" applyFont="1" applyFill="1" applyBorder="1" applyAlignment="1" applyProtection="1">
      <alignment vertical="center"/>
    </xf>
    <xf numFmtId="165"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0" fontId="14" fillId="0" borderId="8" xfId="0" applyNumberFormat="1" applyFont="1" applyBorder="1" applyAlignment="1">
      <alignment vertical="center"/>
    </xf>
    <xf numFmtId="0" fontId="14" fillId="0" borderId="0" xfId="0" applyFont="1" applyBorder="1" applyAlignment="1">
      <alignment horizontal="center" vertical="center"/>
    </xf>
    <xf numFmtId="0" fontId="14" fillId="0" borderId="9" xfId="0" applyFont="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49" fontId="38" fillId="0" borderId="0" xfId="0" applyNumberFormat="1" applyFont="1" applyBorder="1" applyAlignment="1" applyProtection="1">
      <alignment horizontal="center" vertical="center"/>
    </xf>
    <xf numFmtId="0" fontId="25" fillId="3" borderId="15" xfId="0" applyFont="1" applyFill="1" applyBorder="1" applyAlignment="1" applyProtection="1">
      <alignment horizontal="center" vertical="center"/>
      <protection locked="0"/>
    </xf>
    <xf numFmtId="9" fontId="4" fillId="0" borderId="4"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170" fontId="5" fillId="0" borderId="4" xfId="0" applyNumberFormat="1" applyFont="1" applyFill="1" applyBorder="1" applyAlignment="1" applyProtection="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6" fillId="0" borderId="2"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3" borderId="19" xfId="0" applyNumberFormat="1" applyFont="1" applyFill="1" applyBorder="1" applyAlignment="1" applyProtection="1">
      <alignment vertical="center"/>
      <protection locked="0"/>
    </xf>
    <xf numFmtId="0" fontId="17" fillId="0" borderId="0" xfId="0" applyFont="1" applyBorder="1" applyAlignment="1">
      <alignment horizontal="right" vertical="center"/>
    </xf>
    <xf numFmtId="0" fontId="16" fillId="3" borderId="19" xfId="0" applyFont="1" applyFill="1" applyBorder="1" applyAlignment="1" applyProtection="1">
      <alignment vertical="center"/>
      <protection locked="0"/>
    </xf>
    <xf numFmtId="0" fontId="16" fillId="0" borderId="7" xfId="0" applyFont="1" applyBorder="1" applyAlignment="1">
      <alignment vertical="center"/>
    </xf>
    <xf numFmtId="0" fontId="16" fillId="0" borderId="6" xfId="0" applyFont="1" applyBorder="1" applyAlignment="1">
      <alignment vertical="center"/>
    </xf>
    <xf numFmtId="0" fontId="16" fillId="0" borderId="14" xfId="0" applyFont="1" applyBorder="1" applyAlignment="1">
      <alignment vertical="center"/>
    </xf>
    <xf numFmtId="0" fontId="17" fillId="0" borderId="20" xfId="0" applyFont="1" applyBorder="1" applyAlignment="1">
      <alignment vertical="center"/>
    </xf>
    <xf numFmtId="0" fontId="16" fillId="0" borderId="21" xfId="0" applyFont="1" applyBorder="1" applyAlignment="1">
      <alignment vertical="center"/>
    </xf>
    <xf numFmtId="14" fontId="20" fillId="3" borderId="22" xfId="0" applyNumberFormat="1" applyFont="1" applyFill="1" applyBorder="1" applyAlignment="1" applyProtection="1">
      <alignment vertical="center"/>
      <protection locked="0"/>
    </xf>
    <xf numFmtId="0" fontId="20" fillId="3" borderId="23" xfId="0"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14" fontId="20" fillId="3" borderId="25"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17" fillId="0" borderId="31" xfId="0" applyFont="1" applyBorder="1" applyAlignment="1">
      <alignment horizontal="right" vertical="center"/>
    </xf>
    <xf numFmtId="0" fontId="17" fillId="0" borderId="32" xfId="0" applyFont="1" applyBorder="1" applyAlignment="1">
      <alignment horizontal="right" vertical="center"/>
    </xf>
    <xf numFmtId="0" fontId="17" fillId="0" borderId="33" xfId="0" applyFont="1" applyBorder="1" applyAlignment="1">
      <alignment horizontal="right" vertical="center"/>
    </xf>
    <xf numFmtId="0" fontId="17" fillId="0" borderId="34" xfId="0" applyFont="1" applyBorder="1" applyAlignment="1">
      <alignment horizontal="right" vertical="center"/>
    </xf>
    <xf numFmtId="0" fontId="17" fillId="0" borderId="13" xfId="0" applyFont="1" applyBorder="1" applyAlignment="1">
      <alignment horizontal="right" vertical="center"/>
    </xf>
    <xf numFmtId="0" fontId="14" fillId="0" borderId="7" xfId="0" applyFont="1" applyBorder="1" applyAlignment="1">
      <alignment vertical="center"/>
    </xf>
    <xf numFmtId="0" fontId="14" fillId="0" borderId="14" xfId="0" applyFont="1" applyBorder="1" applyAlignment="1">
      <alignment vertical="center"/>
    </xf>
    <xf numFmtId="0" fontId="17" fillId="0" borderId="6" xfId="0" applyFont="1" applyBorder="1" applyAlignment="1">
      <alignment horizontal="right" vertical="center"/>
    </xf>
    <xf numFmtId="0" fontId="18" fillId="0" borderId="10" xfId="0" applyFont="1" applyBorder="1" applyAlignment="1">
      <alignment horizontal="center" vertical="center"/>
    </xf>
    <xf numFmtId="0" fontId="67" fillId="0" borderId="10" xfId="0" applyFont="1" applyBorder="1" applyAlignment="1" applyProtection="1">
      <alignment horizontal="left" vertical="center"/>
    </xf>
    <xf numFmtId="0" fontId="18" fillId="0" borderId="11" xfId="0" applyFont="1" applyBorder="1" applyAlignment="1">
      <alignment horizontal="center" vertical="center"/>
    </xf>
    <xf numFmtId="1" fontId="50"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8" fillId="0" borderId="2" xfId="0" applyFont="1" applyBorder="1" applyAlignment="1">
      <alignment vertical="center"/>
    </xf>
    <xf numFmtId="0" fontId="18" fillId="0" borderId="0" xfId="0" applyFont="1" applyBorder="1" applyAlignment="1">
      <alignment vertical="center"/>
    </xf>
    <xf numFmtId="0" fontId="14" fillId="0" borderId="0" xfId="0" applyFont="1" applyFill="1" applyBorder="1" applyAlignment="1">
      <alignment vertical="center"/>
    </xf>
    <xf numFmtId="49" fontId="14" fillId="0" borderId="8" xfId="0" applyNumberFormat="1" applyFont="1" applyBorder="1" applyAlignment="1" applyProtection="1">
      <alignment vertical="center"/>
      <protection locked="0"/>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49" fontId="7" fillId="0" borderId="28"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0" fontId="14" fillId="0" borderId="39" xfId="0" applyFont="1" applyBorder="1" applyAlignment="1" applyProtection="1">
      <alignment vertical="center"/>
    </xf>
    <xf numFmtId="49" fontId="7" fillId="0" borderId="35" xfId="0" applyNumberFormat="1" applyFont="1" applyBorder="1" applyAlignment="1" applyProtection="1">
      <alignment vertical="center"/>
    </xf>
    <xf numFmtId="0" fontId="68" fillId="0" borderId="19" xfId="0" applyNumberFormat="1" applyFont="1" applyFill="1" applyBorder="1" applyAlignment="1" applyProtection="1">
      <alignment horizontal="center" vertical="center"/>
    </xf>
    <xf numFmtId="170" fontId="0" fillId="0" borderId="0" xfId="0" applyNumberFormat="1"/>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4" fillId="0" borderId="32" xfId="0" applyFont="1" applyBorder="1" applyAlignment="1">
      <alignment vertical="center"/>
    </xf>
    <xf numFmtId="0" fontId="14" fillId="0" borderId="40" xfId="0" applyFont="1" applyBorder="1" applyAlignment="1">
      <alignment vertical="center"/>
    </xf>
    <xf numFmtId="0" fontId="14" fillId="0" borderId="38" xfId="0" applyFont="1" applyBorder="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41" xfId="0" applyFont="1" applyBorder="1" applyAlignment="1">
      <alignment horizontal="right" vertical="center"/>
    </xf>
    <xf numFmtId="0" fontId="14" fillId="0" borderId="41" xfId="0" applyFont="1" applyBorder="1" applyAlignment="1">
      <alignment vertical="center"/>
    </xf>
    <xf numFmtId="170" fontId="14" fillId="0" borderId="42" xfId="0" applyNumberFormat="1" applyFont="1" applyBorder="1" applyAlignment="1">
      <alignment vertical="center" wrapText="1"/>
    </xf>
    <xf numFmtId="0" fontId="7" fillId="0" borderId="0" xfId="0" applyFont="1" applyBorder="1" applyAlignment="1">
      <alignment horizontal="right" vertical="center"/>
    </xf>
    <xf numFmtId="0" fontId="17" fillId="0" borderId="31" xfId="0" applyFont="1" applyBorder="1" applyAlignment="1">
      <alignment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right" vertical="center"/>
    </xf>
    <xf numFmtId="0" fontId="7" fillId="0" borderId="7" xfId="0" applyFont="1" applyBorder="1" applyAlignment="1">
      <alignment horizontal="right" vertical="center"/>
    </xf>
    <xf numFmtId="0" fontId="7" fillId="0" borderId="44" xfId="0" applyFont="1" applyBorder="1" applyAlignment="1">
      <alignment horizontal="right" vertical="center"/>
    </xf>
    <xf numFmtId="0" fontId="14" fillId="0" borderId="8" xfId="0" applyFont="1" applyBorder="1" applyAlignment="1">
      <alignment horizontal="center" vertical="center"/>
    </xf>
    <xf numFmtId="0" fontId="14" fillId="0" borderId="2" xfId="0" applyFont="1" applyBorder="1" applyAlignment="1">
      <alignment horizontal="right" vertical="center"/>
    </xf>
    <xf numFmtId="0" fontId="14" fillId="0" borderId="45" xfId="0" applyFont="1" applyBorder="1" applyAlignment="1">
      <alignment vertical="center"/>
    </xf>
    <xf numFmtId="0" fontId="19" fillId="3" borderId="41"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24" xfId="0" applyFont="1" applyFill="1" applyBorder="1" applyAlignment="1" applyProtection="1">
      <alignment vertical="center"/>
      <protection locked="0"/>
    </xf>
    <xf numFmtId="0" fontId="17" fillId="0" borderId="20" xfId="0" applyFont="1" applyBorder="1" applyAlignment="1">
      <alignment horizontal="left" vertical="center"/>
    </xf>
    <xf numFmtId="0" fontId="14" fillId="0" borderId="21" xfId="0" applyFont="1" applyBorder="1" applyAlignment="1">
      <alignment horizontal="left" vertical="center"/>
    </xf>
    <xf numFmtId="14" fontId="19" fillId="3" borderId="22" xfId="0" applyNumberFormat="1"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170" fontId="19" fillId="3" borderId="27" xfId="0" applyNumberFormat="1" applyFont="1" applyFill="1" applyBorder="1" applyAlignment="1" applyProtection="1">
      <alignment vertical="center"/>
      <protection locked="0"/>
    </xf>
    <xf numFmtId="0" fontId="67" fillId="0" borderId="2" xfId="0" applyFont="1" applyBorder="1" applyAlignment="1" applyProtection="1">
      <alignment horizontal="left" vertical="center"/>
    </xf>
    <xf numFmtId="1" fontId="14" fillId="0" borderId="6" xfId="0" applyNumberFormat="1" applyFont="1" applyBorder="1" applyAlignment="1">
      <alignment horizontal="left" vertical="center"/>
    </xf>
    <xf numFmtId="0" fontId="19" fillId="3" borderId="47"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7" fillId="0" borderId="33" xfId="0" applyFont="1" applyBorder="1" applyAlignment="1">
      <alignment horizontal="right" vertical="center"/>
    </xf>
    <xf numFmtId="0" fontId="5" fillId="3" borderId="33" xfId="0" applyFont="1" applyFill="1" applyBorder="1" applyAlignment="1" applyProtection="1">
      <alignment vertical="center"/>
    </xf>
    <xf numFmtId="0" fontId="5" fillId="3" borderId="46" xfId="0" applyFont="1" applyFill="1" applyBorder="1" applyAlignment="1" applyProtection="1">
      <alignment vertical="center"/>
    </xf>
    <xf numFmtId="0" fontId="22" fillId="0" borderId="9" xfId="0" applyFont="1" applyBorder="1" applyAlignment="1">
      <alignment horizontal="lef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9" fillId="0" borderId="0" xfId="0" applyFont="1" applyBorder="1" applyAlignment="1" applyProtection="1">
      <alignment vertical="center"/>
      <protection locked="0"/>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9"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13" xfId="0" applyFont="1" applyBorder="1" applyAlignment="1">
      <alignment vertical="center"/>
    </xf>
    <xf numFmtId="0" fontId="43" fillId="0" borderId="0" xfId="0" applyFont="1" applyBorder="1" applyAlignment="1">
      <alignment vertical="center"/>
    </xf>
    <xf numFmtId="0" fontId="17" fillId="0" borderId="34" xfId="0" applyFont="1" applyBorder="1" applyAlignment="1">
      <alignment horizontal="left" vertical="center"/>
    </xf>
    <xf numFmtId="0" fontId="19" fillId="3" borderId="52" xfId="0" applyFont="1" applyFill="1" applyBorder="1" applyProtection="1">
      <protection locked="0"/>
    </xf>
    <xf numFmtId="0" fontId="19" fillId="3" borderId="24" xfId="0" applyFont="1" applyFill="1" applyBorder="1" applyProtection="1">
      <protection locked="0"/>
    </xf>
    <xf numFmtId="14" fontId="19" fillId="3" borderId="24" xfId="0" applyNumberFormat="1" applyFont="1" applyFill="1" applyBorder="1" applyProtection="1">
      <protection locked="0"/>
    </xf>
    <xf numFmtId="15" fontId="19" fillId="3" borderId="24" xfId="0" applyNumberFormat="1" applyFont="1" applyFill="1" applyBorder="1" applyProtection="1">
      <protection locked="0"/>
    </xf>
    <xf numFmtId="170" fontId="19" fillId="3" borderId="24" xfId="0" applyNumberFormat="1" applyFont="1" applyFill="1" applyBorder="1" applyProtection="1">
      <protection locked="0"/>
    </xf>
    <xf numFmtId="0" fontId="20" fillId="3" borderId="23" xfId="0" applyFont="1" applyFill="1" applyBorder="1" applyProtection="1">
      <protection locked="0"/>
    </xf>
    <xf numFmtId="0" fontId="20" fillId="3" borderId="24" xfId="0" applyFont="1" applyFill="1" applyBorder="1" applyProtection="1">
      <protection locked="0"/>
    </xf>
    <xf numFmtId="0" fontId="19" fillId="3" borderId="47" xfId="0" applyFont="1" applyFill="1" applyBorder="1" applyProtection="1">
      <protection locked="0"/>
    </xf>
    <xf numFmtId="0" fontId="19" fillId="3" borderId="33" xfId="0" applyFont="1" applyFill="1" applyBorder="1" applyProtection="1">
      <protection locked="0"/>
    </xf>
    <xf numFmtId="0" fontId="19" fillId="3" borderId="53" xfId="0" applyFont="1" applyFill="1" applyBorder="1" applyProtection="1">
      <protection locked="0"/>
    </xf>
    <xf numFmtId="0" fontId="19" fillId="3" borderId="54" xfId="0" applyFont="1" applyFill="1" applyBorder="1" applyProtection="1">
      <protection locked="0"/>
    </xf>
    <xf numFmtId="0" fontId="57" fillId="4" borderId="55" xfId="0" applyFont="1" applyFill="1" applyBorder="1" applyAlignment="1" applyProtection="1">
      <alignment horizontal="center" vertical="center"/>
    </xf>
    <xf numFmtId="0" fontId="4" fillId="5" borderId="56" xfId="0" applyFont="1" applyFill="1" applyBorder="1" applyAlignment="1" applyProtection="1">
      <alignment vertical="center"/>
    </xf>
    <xf numFmtId="0" fontId="4" fillId="5" borderId="57" xfId="0" applyFont="1" applyFill="1" applyBorder="1" applyAlignment="1" applyProtection="1">
      <alignment vertical="center"/>
    </xf>
    <xf numFmtId="170" fontId="57" fillId="4" borderId="55"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14" fillId="0" borderId="12" xfId="0" applyFont="1" applyBorder="1" applyAlignment="1">
      <alignment vertical="center"/>
    </xf>
    <xf numFmtId="0" fontId="4" fillId="0" borderId="12" xfId="0" applyFont="1" applyFill="1" applyBorder="1" applyAlignment="1" applyProtection="1">
      <alignment horizontal="center" vertical="center"/>
    </xf>
    <xf numFmtId="9" fontId="4" fillId="0" borderId="12" xfId="15" applyFont="1" applyFill="1" applyBorder="1" applyAlignment="1" applyProtection="1">
      <alignment vertical="center"/>
    </xf>
    <xf numFmtId="170" fontId="4" fillId="0" borderId="12" xfId="0" applyNumberFormat="1" applyFont="1" applyFill="1" applyBorder="1" applyAlignment="1" applyProtection="1">
      <alignment horizontal="left" vertical="center"/>
    </xf>
    <xf numFmtId="170" fontId="4" fillId="0" borderId="12" xfId="0" applyNumberFormat="1" applyFont="1" applyFill="1" applyBorder="1" applyAlignment="1" applyProtection="1">
      <alignment horizontal="center" vertical="center"/>
    </xf>
    <xf numFmtId="170" fontId="4" fillId="0" borderId="12" xfId="0" applyNumberFormat="1" applyFont="1" applyBorder="1" applyAlignment="1" applyProtection="1">
      <alignment vertical="center"/>
    </xf>
    <xf numFmtId="0" fontId="5" fillId="0" borderId="12" xfId="0" applyFont="1" applyFill="1" applyBorder="1" applyAlignment="1" applyProtection="1">
      <alignment vertical="center"/>
    </xf>
    <xf numFmtId="0" fontId="40" fillId="0" borderId="58" xfId="0" applyFont="1" applyFill="1" applyBorder="1" applyAlignment="1" applyProtection="1">
      <alignment horizontal="left" vertical="center"/>
    </xf>
    <xf numFmtId="0" fontId="40" fillId="0" borderId="5" xfId="0" applyFont="1" applyFill="1" applyBorder="1" applyAlignment="1" applyProtection="1">
      <alignment horizontal="lef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3" xfId="0" applyFont="1" applyFill="1" applyBorder="1" applyAlignment="1" applyProtection="1">
      <alignment vertical="center"/>
    </xf>
    <xf numFmtId="164" fontId="5" fillId="0" borderId="0" xfId="0" applyNumberFormat="1" applyFont="1" applyFill="1" applyBorder="1" applyAlignment="1" applyProtection="1">
      <alignment horizontal="left" vertical="center"/>
    </xf>
    <xf numFmtId="0" fontId="22" fillId="0" borderId="58" xfId="0" applyFont="1" applyFill="1" applyBorder="1" applyAlignment="1" applyProtection="1">
      <alignment vertical="center"/>
    </xf>
    <xf numFmtId="172" fontId="7" fillId="6" borderId="5" xfId="0" applyNumberFormat="1" applyFont="1" applyFill="1" applyBorder="1" applyAlignment="1" applyProtection="1">
      <alignment horizontal="right" vertical="center"/>
    </xf>
    <xf numFmtId="170" fontId="7" fillId="6" borderId="5" xfId="0" applyNumberFormat="1" applyFont="1" applyFill="1" applyBorder="1" applyAlignment="1" applyProtection="1">
      <alignment horizontal="right" vertical="center"/>
    </xf>
    <xf numFmtId="172" fontId="4" fillId="6" borderId="5" xfId="0" applyNumberFormat="1" applyFont="1" applyFill="1" applyBorder="1" applyAlignment="1" applyProtection="1">
      <alignment vertical="center"/>
    </xf>
    <xf numFmtId="172" fontId="4" fillId="6" borderId="59" xfId="0" applyNumberFormat="1" applyFont="1" applyFill="1" applyBorder="1" applyAlignment="1" applyProtection="1">
      <alignment vertical="center"/>
    </xf>
    <xf numFmtId="170" fontId="14" fillId="0" borderId="14" xfId="0" applyNumberFormat="1" applyFont="1" applyBorder="1" applyAlignment="1">
      <alignment vertical="center"/>
    </xf>
    <xf numFmtId="14" fontId="19" fillId="3" borderId="22" xfId="0" applyNumberFormat="1" applyFont="1" applyFill="1" applyBorder="1" applyProtection="1">
      <protection locked="0"/>
    </xf>
    <xf numFmtId="0" fontId="19" fillId="3" borderId="61" xfId="0" applyFont="1" applyFill="1" applyBorder="1" applyAlignment="1" applyProtection="1">
      <alignment vertical="center"/>
      <protection locked="0"/>
    </xf>
    <xf numFmtId="0" fontId="19" fillId="3" borderId="62" xfId="0" applyFont="1" applyFill="1" applyBorder="1" applyAlignment="1" applyProtection="1">
      <alignment vertical="center"/>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9" fillId="3" borderId="63" xfId="0" applyFont="1" applyFill="1" applyBorder="1" applyAlignment="1" applyProtection="1">
      <alignment vertical="center"/>
      <protection locked="0"/>
    </xf>
    <xf numFmtId="0" fontId="17" fillId="3" borderId="25" xfId="0" applyFont="1" applyFill="1" applyBorder="1" applyAlignment="1">
      <alignment horizontal="left" vertical="center"/>
    </xf>
    <xf numFmtId="0" fontId="19" fillId="3" borderId="64" xfId="0" applyFont="1" applyFill="1" applyBorder="1" applyAlignment="1" applyProtection="1">
      <alignment vertical="center"/>
      <protection locked="0"/>
    </xf>
    <xf numFmtId="0" fontId="17" fillId="0" borderId="16" xfId="0" applyFont="1" applyBorder="1" applyAlignment="1">
      <alignment vertical="center"/>
    </xf>
    <xf numFmtId="0" fontId="19" fillId="3" borderId="65" xfId="0" applyFont="1" applyFill="1" applyBorder="1" applyAlignment="1" applyProtection="1">
      <alignment vertical="center"/>
      <protection locked="0"/>
    </xf>
    <xf numFmtId="0" fontId="43" fillId="0" borderId="8" xfId="0" applyFont="1" applyBorder="1" applyAlignment="1">
      <alignment horizontal="right" vertical="center"/>
    </xf>
    <xf numFmtId="0" fontId="16" fillId="0" borderId="60" xfId="0" applyFont="1" applyBorder="1" applyAlignment="1">
      <alignment vertical="center"/>
    </xf>
    <xf numFmtId="0" fontId="16" fillId="0" borderId="17" xfId="0" applyFont="1" applyBorder="1" applyAlignment="1">
      <alignment vertical="center"/>
    </xf>
    <xf numFmtId="170" fontId="16" fillId="0" borderId="18" xfId="0" applyNumberFormat="1" applyFont="1" applyBorder="1" applyAlignment="1">
      <alignment vertical="center"/>
    </xf>
    <xf numFmtId="14" fontId="20" fillId="3" borderId="22" xfId="0" applyNumberFormat="1" applyFont="1" applyFill="1" applyBorder="1" applyProtection="1">
      <protection locked="0"/>
    </xf>
    <xf numFmtId="0" fontId="17" fillId="0" borderId="7" xfId="0" applyFont="1" applyBorder="1" applyAlignment="1">
      <alignment horizontal="right" vertical="center"/>
    </xf>
    <xf numFmtId="0" fontId="17" fillId="0" borderId="60" xfId="0" applyFont="1" applyBorder="1" applyAlignment="1">
      <alignment horizontal="right" vertical="center"/>
    </xf>
    <xf numFmtId="14" fontId="19" fillId="3" borderId="66" xfId="0" applyNumberFormat="1" applyFont="1" applyFill="1" applyBorder="1" applyProtection="1">
      <protection locked="0"/>
    </xf>
    <xf numFmtId="0" fontId="19" fillId="3" borderId="66"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9" fillId="3" borderId="54" xfId="0" applyFont="1" applyFill="1" applyBorder="1" applyAlignment="1" applyProtection="1">
      <alignment vertical="center"/>
      <protection locked="0"/>
    </xf>
    <xf numFmtId="170" fontId="19" fillId="3" borderId="52" xfId="0" applyNumberFormat="1"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19" fillId="0" borderId="32" xfId="0" applyFont="1" applyBorder="1" applyAlignment="1" applyProtection="1">
      <alignment vertical="center"/>
      <protection locked="0"/>
    </xf>
    <xf numFmtId="0" fontId="7" fillId="0" borderId="67" xfId="0" applyFont="1" applyBorder="1" applyAlignment="1">
      <alignment vertical="center"/>
    </xf>
    <xf numFmtId="170" fontId="14" fillId="0" borderId="68" xfId="0" applyNumberFormat="1" applyFont="1" applyBorder="1" applyAlignment="1">
      <alignment vertical="center"/>
    </xf>
    <xf numFmtId="0" fontId="65" fillId="0" borderId="10" xfId="0" applyFont="1" applyBorder="1" applyAlignment="1">
      <alignment horizontal="left" vertical="center"/>
    </xf>
    <xf numFmtId="0" fontId="7" fillId="0" borderId="69" xfId="0" applyFont="1" applyBorder="1" applyAlignment="1" applyProtection="1">
      <alignment horizontal="center" vertical="center" wrapText="1"/>
    </xf>
    <xf numFmtId="49" fontId="7" fillId="0" borderId="69" xfId="0" applyNumberFormat="1" applyFont="1" applyBorder="1" applyAlignment="1" applyProtection="1">
      <alignment vertical="center"/>
    </xf>
    <xf numFmtId="49" fontId="7" fillId="0" borderId="70" xfId="0" applyNumberFormat="1" applyFont="1" applyFill="1" applyBorder="1" applyAlignment="1" applyProtection="1">
      <alignment horizontal="center" vertical="center" wrapText="1"/>
    </xf>
    <xf numFmtId="15" fontId="7" fillId="7" borderId="54" xfId="0" applyNumberFormat="1" applyFont="1" applyFill="1" applyBorder="1" applyAlignment="1" applyProtection="1">
      <alignment horizontal="center" vertical="center"/>
    </xf>
    <xf numFmtId="15" fontId="7" fillId="7" borderId="33" xfId="0" applyNumberFormat="1" applyFont="1" applyFill="1" applyBorder="1" applyAlignment="1" applyProtection="1">
      <alignment horizontal="center" vertical="center"/>
    </xf>
    <xf numFmtId="175" fontId="19" fillId="0" borderId="27" xfId="0" applyNumberFormat="1" applyFont="1" applyFill="1" applyBorder="1" applyProtection="1"/>
    <xf numFmtId="175" fontId="19" fillId="3" borderId="24" xfId="0" applyNumberFormat="1" applyFont="1" applyFill="1" applyBorder="1" applyProtection="1">
      <protection locked="0"/>
    </xf>
    <xf numFmtId="175" fontId="19" fillId="3" borderId="27" xfId="0" applyNumberFormat="1" applyFont="1" applyFill="1" applyBorder="1" applyAlignment="1" applyProtection="1">
      <alignment vertical="center"/>
      <protection locked="0"/>
    </xf>
    <xf numFmtId="175" fontId="19" fillId="3" borderId="62" xfId="0" applyNumberFormat="1" applyFont="1" applyFill="1" applyBorder="1" applyAlignment="1" applyProtection="1">
      <alignment vertical="center"/>
      <protection locked="0"/>
    </xf>
    <xf numFmtId="175" fontId="19" fillId="3" borderId="52" xfId="0" applyNumberFormat="1" applyFont="1" applyFill="1" applyBorder="1" applyProtection="1">
      <protection locked="0"/>
    </xf>
    <xf numFmtId="0" fontId="5" fillId="0" borderId="6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70" fillId="0" borderId="60" xfId="0" applyFont="1" applyFill="1" applyBorder="1" applyAlignment="1" applyProtection="1">
      <alignment vertical="center"/>
    </xf>
    <xf numFmtId="0" fontId="48" fillId="0" borderId="60" xfId="0" applyFont="1" applyFill="1" applyBorder="1" applyAlignment="1" applyProtection="1">
      <alignment vertical="center"/>
    </xf>
    <xf numFmtId="0" fontId="71" fillId="0" borderId="60" xfId="0" applyFont="1" applyFill="1" applyBorder="1" applyAlignment="1" applyProtection="1">
      <alignment vertical="center"/>
    </xf>
    <xf numFmtId="0" fontId="72" fillId="0" borderId="0" xfId="0" applyFont="1" applyFill="1" applyBorder="1" applyAlignment="1" applyProtection="1">
      <alignment vertical="center"/>
    </xf>
    <xf numFmtId="3" fontId="27" fillId="0" borderId="0" xfId="14" applyNumberFormat="1" applyFont="1" applyFill="1" applyBorder="1" applyProtection="1"/>
    <xf numFmtId="0" fontId="0" fillId="0" borderId="0" xfId="0" applyFill="1"/>
    <xf numFmtId="0" fontId="27" fillId="0" borderId="0" xfId="0" applyFont="1" applyFill="1"/>
    <xf numFmtId="49" fontId="17" fillId="3" borderId="29" xfId="0" applyNumberFormat="1" applyFont="1" applyFill="1" applyBorder="1" applyAlignment="1" applyProtection="1">
      <alignment vertical="center"/>
      <protection locked="0"/>
    </xf>
    <xf numFmtId="0" fontId="77" fillId="0" borderId="46" xfId="0" applyFont="1" applyBorder="1" applyAlignment="1" applyProtection="1">
      <alignment horizontal="left" vertical="center"/>
    </xf>
    <xf numFmtId="1" fontId="25" fillId="0" borderId="30"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7" fillId="0" borderId="7"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0" fontId="46" fillId="0" borderId="6" xfId="13" applyFont="1" applyFill="1" applyBorder="1" applyAlignment="1" applyProtection="1">
      <alignment horizontal="left" vertical="center"/>
    </xf>
    <xf numFmtId="0" fontId="17" fillId="0" borderId="6"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6" fillId="0" borderId="0" xfId="0" applyNumberFormat="1" applyFont="1" applyAlignment="1">
      <alignment vertical="center" wrapText="1"/>
    </xf>
    <xf numFmtId="0" fontId="16" fillId="0" borderId="0" xfId="0" applyNumberFormat="1" applyFont="1" applyBorder="1" applyAlignment="1">
      <alignment vertical="center" wrapText="1"/>
    </xf>
    <xf numFmtId="0" fontId="16" fillId="0" borderId="0" xfId="0" applyFont="1" applyBorder="1" applyAlignment="1">
      <alignment vertical="center" wrapText="1"/>
    </xf>
    <xf numFmtId="0" fontId="17" fillId="0" borderId="0" xfId="0" applyNumberFormat="1" applyFont="1" applyAlignment="1">
      <alignment vertical="center" wrapText="1"/>
    </xf>
    <xf numFmtId="0" fontId="17" fillId="0" borderId="7" xfId="0" applyFont="1" applyBorder="1" applyAlignment="1" applyProtection="1">
      <alignment vertical="center"/>
    </xf>
    <xf numFmtId="0" fontId="36" fillId="0" borderId="0" xfId="0" applyFont="1" applyBorder="1" applyAlignment="1" applyProtection="1">
      <alignment horizontal="right" vertical="center"/>
    </xf>
    <xf numFmtId="0" fontId="17" fillId="0" borderId="2" xfId="0" applyFont="1" applyBorder="1" applyAlignment="1" applyProtection="1">
      <alignment horizontal="right" vertical="center"/>
    </xf>
    <xf numFmtId="0" fontId="26" fillId="0" borderId="2" xfId="0" applyFont="1" applyBorder="1" applyAlignment="1">
      <alignment horizontal="right" vertical="center"/>
    </xf>
    <xf numFmtId="0" fontId="56" fillId="0" borderId="8" xfId="0" applyFont="1" applyBorder="1" applyAlignment="1">
      <alignment horizontal="lef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 fillId="0" borderId="0" xfId="0" applyFont="1" applyBorder="1" applyAlignment="1" applyProtection="1">
      <alignment vertical="center" wrapText="1"/>
    </xf>
    <xf numFmtId="172" fontId="19" fillId="0" borderId="71" xfId="0" applyNumberFormat="1" applyFont="1" applyFill="1" applyBorder="1" applyAlignment="1">
      <alignment horizontal="right" vertical="center"/>
    </xf>
    <xf numFmtId="49" fontId="16" fillId="0" borderId="0" xfId="0" applyNumberFormat="1" applyFont="1" applyBorder="1" applyAlignment="1" applyProtection="1">
      <alignment vertical="center"/>
    </xf>
    <xf numFmtId="0" fontId="79" fillId="0" borderId="0" xfId="0" applyFont="1" applyBorder="1" applyAlignment="1" applyProtection="1">
      <alignment horizontal="center" vertical="center"/>
    </xf>
    <xf numFmtId="49" fontId="55" fillId="0" borderId="0" xfId="0" applyNumberFormat="1" applyFont="1" applyBorder="1" applyAlignme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alignment horizontal="center" vertical="center"/>
    </xf>
    <xf numFmtId="0" fontId="14" fillId="0" borderId="12" xfId="0" applyFont="1" applyBorder="1" applyAlignment="1" applyProtection="1">
      <alignment vertical="center"/>
    </xf>
    <xf numFmtId="0" fontId="14" fillId="0" borderId="0" xfId="0" applyFont="1" applyBorder="1" applyAlignment="1" applyProtection="1">
      <alignment horizontal="left" vertical="center"/>
    </xf>
    <xf numFmtId="0" fontId="14" fillId="0" borderId="2" xfId="0" applyFont="1" applyBorder="1" applyAlignment="1" applyProtection="1">
      <alignment vertical="center"/>
    </xf>
    <xf numFmtId="2" fontId="4" fillId="0" borderId="0" xfId="0" applyNumberFormat="1" applyFont="1" applyBorder="1" applyAlignment="1" applyProtection="1">
      <alignment horizontal="left" vertical="center"/>
    </xf>
    <xf numFmtId="0" fontId="15"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xf>
    <xf numFmtId="0" fontId="14" fillId="0" borderId="8" xfId="0" applyFont="1" applyBorder="1" applyAlignment="1" applyProtection="1">
      <alignment vertical="center"/>
    </xf>
    <xf numFmtId="49" fontId="34" fillId="0" borderId="0" xfId="0" applyNumberFormat="1" applyFont="1" applyBorder="1" applyAlignment="1" applyProtection="1">
      <alignment vertical="center"/>
    </xf>
    <xf numFmtId="0" fontId="34" fillId="0" borderId="8" xfId="0" applyFont="1" applyBorder="1" applyAlignment="1" applyProtection="1">
      <alignment vertical="center"/>
    </xf>
    <xf numFmtId="0" fontId="4" fillId="0" borderId="2" xfId="0" applyFont="1" applyBorder="1" applyAlignment="1" applyProtection="1">
      <alignment vertical="center" wrapText="1"/>
    </xf>
    <xf numFmtId="0" fontId="4" fillId="0" borderId="2" xfId="0" applyFont="1" applyBorder="1" applyAlignment="1" applyProtection="1">
      <alignment vertical="center"/>
    </xf>
    <xf numFmtId="0" fontId="41" fillId="0" borderId="0" xfId="0" applyFont="1" applyBorder="1" applyAlignment="1" applyProtection="1">
      <alignment horizontal="left" vertical="center"/>
    </xf>
    <xf numFmtId="0" fontId="4" fillId="0" borderId="72" xfId="0" applyFont="1" applyBorder="1" applyAlignment="1" applyProtection="1">
      <alignment vertical="center"/>
    </xf>
    <xf numFmtId="0" fontId="4" fillId="0" borderId="60" xfId="0" applyFont="1" applyBorder="1" applyAlignment="1" applyProtection="1">
      <alignment vertical="center"/>
    </xf>
    <xf numFmtId="0" fontId="47" fillId="0" borderId="60" xfId="0" applyFont="1" applyBorder="1" applyAlignment="1" applyProtection="1">
      <alignment horizontal="left" vertical="center"/>
    </xf>
    <xf numFmtId="0" fontId="41" fillId="0" borderId="60" xfId="0" applyFont="1" applyBorder="1" applyAlignment="1" applyProtection="1">
      <alignment horizontal="left" vertical="center"/>
    </xf>
    <xf numFmtId="0" fontId="19" fillId="0" borderId="60" xfId="0" applyFont="1" applyBorder="1" applyAlignment="1" applyProtection="1">
      <alignment vertical="center"/>
    </xf>
    <xf numFmtId="0" fontId="83" fillId="0" borderId="0" xfId="0" applyFont="1"/>
    <xf numFmtId="0" fontId="25" fillId="3" borderId="52" xfId="0" applyFont="1" applyFill="1" applyBorder="1" applyAlignment="1" applyProtection="1">
      <alignment horizontal="center" vertical="center"/>
      <protection locked="0"/>
    </xf>
    <xf numFmtId="0" fontId="36" fillId="0" borderId="8" xfId="0" applyFont="1" applyBorder="1" applyAlignment="1">
      <alignment vertical="center"/>
    </xf>
    <xf numFmtId="0" fontId="6" fillId="0" borderId="5" xfId="0" applyFont="1" applyFill="1" applyBorder="1" applyAlignment="1" applyProtection="1">
      <alignment horizontal="right" vertical="center"/>
    </xf>
    <xf numFmtId="0" fontId="81" fillId="0" borderId="60" xfId="0" applyFont="1" applyFill="1" applyBorder="1" applyAlignment="1" applyProtection="1">
      <alignment horizontal="right" vertical="center"/>
    </xf>
    <xf numFmtId="176" fontId="64" fillId="0" borderId="2" xfId="0" applyNumberFormat="1" applyFont="1" applyBorder="1" applyAlignment="1" applyProtection="1">
      <alignment vertical="center"/>
    </xf>
    <xf numFmtId="0" fontId="40" fillId="0" borderId="72" xfId="0" applyFont="1" applyFill="1" applyBorder="1" applyAlignment="1" applyProtection="1">
      <alignment horizontal="left" vertical="center"/>
    </xf>
    <xf numFmtId="0" fontId="88" fillId="0" borderId="0" xfId="0" applyFont="1"/>
    <xf numFmtId="0" fontId="83" fillId="0" borderId="0" xfId="0" applyFont="1" applyFill="1"/>
    <xf numFmtId="9" fontId="4" fillId="0" borderId="4" xfId="15" applyFont="1" applyFill="1" applyBorder="1" applyAlignment="1" applyProtection="1">
      <alignment vertical="center"/>
    </xf>
    <xf numFmtId="170" fontId="4" fillId="0" borderId="4" xfId="0" applyNumberFormat="1" applyFont="1" applyFill="1" applyBorder="1" applyAlignment="1" applyProtection="1">
      <alignment horizontal="center" vertical="center"/>
    </xf>
    <xf numFmtId="170" fontId="6" fillId="0" borderId="4" xfId="0" applyNumberFormat="1" applyFont="1" applyFill="1" applyBorder="1" applyAlignment="1" applyProtection="1">
      <alignment horizontal="right" vertical="center"/>
    </xf>
    <xf numFmtId="0" fontId="40" fillId="0" borderId="2" xfId="0" applyFont="1" applyFill="1" applyBorder="1" applyAlignment="1" applyProtection="1">
      <alignment vertical="center"/>
    </xf>
    <xf numFmtId="0" fontId="5" fillId="0" borderId="67" xfId="0" applyFont="1" applyFill="1" applyBorder="1" applyAlignment="1" applyProtection="1">
      <alignment vertical="center"/>
    </xf>
    <xf numFmtId="2" fontId="5" fillId="0" borderId="12"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14" fillId="0" borderId="60" xfId="0" applyFont="1" applyBorder="1" applyAlignment="1" applyProtection="1">
      <alignment vertical="center"/>
    </xf>
    <xf numFmtId="0" fontId="14" fillId="0" borderId="60" xfId="0" applyFont="1" applyFill="1" applyBorder="1" applyAlignment="1" applyProtection="1">
      <alignment vertical="center"/>
    </xf>
    <xf numFmtId="0" fontId="23" fillId="0" borderId="0" xfId="0" applyFont="1" applyBorder="1" applyAlignment="1">
      <alignment vertical="center"/>
    </xf>
    <xf numFmtId="0" fontId="75" fillId="0" borderId="73" xfId="0" applyFont="1" applyFill="1" applyBorder="1" applyAlignment="1" applyProtection="1">
      <alignment horizontal="center" vertical="center"/>
    </xf>
    <xf numFmtId="0" fontId="25" fillId="3" borderId="30" xfId="0" applyFont="1" applyFill="1" applyBorder="1" applyAlignment="1" applyProtection="1">
      <alignment horizontal="center" vertical="center"/>
      <protection locked="0"/>
    </xf>
    <xf numFmtId="170" fontId="46" fillId="0" borderId="6" xfId="0" applyNumberFormat="1" applyFont="1" applyFill="1" applyBorder="1" applyAlignment="1" applyProtection="1">
      <alignment horizontal="right" vertical="center"/>
    </xf>
    <xf numFmtId="0" fontId="47" fillId="0" borderId="7" xfId="0" applyFont="1" applyBorder="1" applyAlignment="1" applyProtection="1">
      <alignment vertical="center"/>
    </xf>
    <xf numFmtId="0" fontId="21" fillId="0" borderId="6" xfId="0" applyFont="1" applyFill="1" applyBorder="1" applyAlignment="1" applyProtection="1">
      <alignment vertical="center"/>
    </xf>
    <xf numFmtId="170" fontId="46" fillId="0" borderId="6" xfId="0" applyNumberFormat="1" applyFont="1" applyFill="1" applyBorder="1" applyAlignment="1" applyProtection="1">
      <alignment vertical="center"/>
    </xf>
    <xf numFmtId="170" fontId="40" fillId="0" borderId="6" xfId="0" applyNumberFormat="1" applyFont="1" applyFill="1" applyBorder="1" applyAlignment="1" applyProtection="1">
      <alignment vertical="center"/>
    </xf>
    <xf numFmtId="170" fontId="21" fillId="0" borderId="6" xfId="0" applyNumberFormat="1" applyFont="1" applyFill="1" applyBorder="1" applyAlignment="1" applyProtection="1">
      <alignment vertical="center"/>
    </xf>
    <xf numFmtId="0" fontId="14" fillId="0" borderId="7" xfId="0" applyFont="1" applyBorder="1" applyAlignment="1" applyProtection="1">
      <alignment vertical="center"/>
    </xf>
    <xf numFmtId="0" fontId="43" fillId="0" borderId="6" xfId="0" applyFont="1" applyBorder="1" applyAlignment="1" applyProtection="1">
      <alignment vertical="center"/>
    </xf>
    <xf numFmtId="0" fontId="4" fillId="0" borderId="6" xfId="0" applyFont="1" applyFill="1" applyBorder="1" applyAlignment="1" applyProtection="1">
      <alignment horizontal="left" vertical="center"/>
    </xf>
    <xf numFmtId="0" fontId="44" fillId="0" borderId="6"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46" fillId="0" borderId="6" xfId="0" applyFont="1" applyFill="1" applyBorder="1" applyAlignment="1" applyProtection="1">
      <alignment horizontal="right" vertical="center"/>
    </xf>
    <xf numFmtId="0" fontId="14" fillId="0" borderId="2" xfId="0" applyFont="1" applyBorder="1" applyAlignment="1" applyProtection="1">
      <alignment horizontal="left" vertical="center"/>
    </xf>
    <xf numFmtId="0" fontId="60" fillId="0" borderId="12" xfId="0" applyFont="1" applyBorder="1" applyAlignment="1" applyProtection="1">
      <alignment vertical="center" wrapText="1"/>
    </xf>
    <xf numFmtId="0" fontId="27" fillId="0" borderId="0" xfId="0" applyFont="1" applyFill="1" applyBorder="1" applyAlignment="1" applyProtection="1">
      <alignment horizontal="left" vertical="center"/>
    </xf>
    <xf numFmtId="0" fontId="15" fillId="0" borderId="6" xfId="0" applyFont="1" applyBorder="1" applyAlignment="1" applyProtection="1">
      <alignment horizontal="right" vertical="center"/>
    </xf>
    <xf numFmtId="9" fontId="58" fillId="0" borderId="2" xfId="0" applyNumberFormat="1" applyFont="1" applyFill="1" applyBorder="1" applyAlignment="1" applyProtection="1">
      <alignment vertical="center"/>
    </xf>
    <xf numFmtId="0" fontId="59" fillId="0" borderId="0" xfId="0" applyFont="1" applyBorder="1" applyAlignment="1" applyProtection="1">
      <alignment vertical="center"/>
    </xf>
    <xf numFmtId="0" fontId="60" fillId="0" borderId="0" xfId="0" applyFont="1" applyBorder="1" applyAlignment="1" applyProtection="1">
      <alignment vertical="center"/>
    </xf>
    <xf numFmtId="0" fontId="33" fillId="0" borderId="0" xfId="0" applyFont="1" applyBorder="1" applyAlignment="1">
      <alignment horizontal="left" vertical="center"/>
    </xf>
    <xf numFmtId="170" fontId="6" fillId="0" borderId="6" xfId="0" applyNumberFormat="1" applyFont="1" applyFill="1" applyBorder="1" applyAlignment="1" applyProtection="1">
      <alignment horizontal="right" vertical="center"/>
    </xf>
    <xf numFmtId="0" fontId="47" fillId="0" borderId="4" xfId="0" applyFont="1" applyBorder="1" applyAlignment="1" applyProtection="1">
      <alignment horizontal="left" vertical="center"/>
    </xf>
    <xf numFmtId="170" fontId="16" fillId="0" borderId="8" xfId="0" applyNumberFormat="1" applyFont="1" applyFill="1" applyBorder="1" applyAlignment="1" applyProtection="1">
      <alignment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84" fillId="0" borderId="10" xfId="0" applyFont="1" applyBorder="1" applyAlignment="1" applyProtection="1">
      <alignment horizontal="center" vertical="center"/>
      <protection locked="0"/>
    </xf>
    <xf numFmtId="0" fontId="17" fillId="0" borderId="72" xfId="0" applyFont="1" applyBorder="1" applyAlignment="1" applyProtection="1">
      <alignment vertical="center"/>
    </xf>
    <xf numFmtId="49" fontId="55" fillId="0" borderId="74" xfId="0" applyNumberFormat="1" applyFont="1" applyBorder="1" applyAlignment="1" applyProtection="1">
      <alignment vertical="center"/>
    </xf>
    <xf numFmtId="177" fontId="55" fillId="0" borderId="74" xfId="0" applyNumberFormat="1" applyFont="1" applyBorder="1" applyAlignment="1" applyProtection="1">
      <alignment horizontal="left" vertical="center"/>
    </xf>
    <xf numFmtId="0" fontId="17" fillId="0" borderId="2" xfId="0" applyFont="1" applyFill="1" applyBorder="1" applyAlignment="1" applyProtection="1">
      <alignment horizontal="right" vertical="center"/>
    </xf>
    <xf numFmtId="49" fontId="55" fillId="0" borderId="30" xfId="0" applyNumberFormat="1" applyFont="1" applyBorder="1" applyAlignment="1" applyProtection="1">
      <alignment vertical="center"/>
    </xf>
    <xf numFmtId="170" fontId="5" fillId="0" borderId="0" xfId="0" applyNumberFormat="1" applyFont="1" applyFill="1" applyBorder="1" applyAlignment="1" applyProtection="1">
      <alignment horizontal="left" vertical="center"/>
    </xf>
    <xf numFmtId="9" fontId="91" fillId="0" borderId="2" xfId="0" applyNumberFormat="1" applyFont="1" applyFill="1" applyBorder="1" applyAlignment="1" applyProtection="1">
      <alignment vertical="center"/>
    </xf>
    <xf numFmtId="9" fontId="5" fillId="0" borderId="12" xfId="15" applyFont="1" applyFill="1" applyBorder="1" applyAlignment="1" applyProtection="1">
      <alignment vertical="center"/>
    </xf>
    <xf numFmtId="0" fontId="41" fillId="0" borderId="2" xfId="0" applyFont="1" applyFill="1" applyBorder="1" applyAlignment="1" applyProtection="1">
      <alignment vertical="center"/>
    </xf>
    <xf numFmtId="174" fontId="55" fillId="0" borderId="75" xfId="0" applyNumberFormat="1" applyFont="1" applyBorder="1" applyAlignment="1" applyProtection="1">
      <alignment horizontal="left" vertical="center"/>
    </xf>
    <xf numFmtId="49" fontId="55" fillId="0" borderId="42" xfId="0" applyNumberFormat="1" applyFont="1" applyBorder="1" applyAlignment="1" applyProtection="1">
      <alignment vertical="center"/>
    </xf>
    <xf numFmtId="49" fontId="55" fillId="0" borderId="76" xfId="0" applyNumberFormat="1" applyFont="1" applyBorder="1" applyAlignment="1" applyProtection="1">
      <alignment vertical="center"/>
    </xf>
    <xf numFmtId="0" fontId="43" fillId="0" borderId="3" xfId="0" applyFont="1" applyBorder="1" applyAlignment="1" applyProtection="1">
      <alignment vertical="center"/>
    </xf>
    <xf numFmtId="0" fontId="14" fillId="0" borderId="4" xfId="0" applyFont="1" applyBorder="1" applyAlignment="1" applyProtection="1">
      <alignment vertical="center"/>
    </xf>
    <xf numFmtId="0" fontId="43" fillId="0" borderId="4" xfId="0" applyFont="1" applyBorder="1" applyAlignment="1" applyProtection="1">
      <alignment horizontal="right" vertical="center"/>
    </xf>
    <xf numFmtId="0" fontId="47" fillId="0" borderId="2" xfId="0" applyFont="1" applyFill="1" applyBorder="1" applyAlignment="1" applyProtection="1">
      <alignment vertical="center"/>
    </xf>
    <xf numFmtId="9" fontId="16" fillId="0" borderId="2" xfId="0" applyNumberFormat="1" applyFont="1" applyFill="1" applyBorder="1" applyAlignment="1" applyProtection="1">
      <alignment vertical="center"/>
    </xf>
    <xf numFmtId="0" fontId="85" fillId="0" borderId="9" xfId="0" applyFont="1" applyBorder="1" applyAlignment="1" applyProtection="1">
      <alignment horizontal="center" vertical="center"/>
      <protection locked="0"/>
    </xf>
    <xf numFmtId="172" fontId="7" fillId="0" borderId="43" xfId="0" applyNumberFormat="1" applyFont="1" applyBorder="1" applyAlignment="1" applyProtection="1">
      <alignment vertical="center"/>
    </xf>
    <xf numFmtId="172" fontId="7" fillId="0" borderId="44" xfId="0" applyNumberFormat="1" applyFont="1" applyBorder="1" applyAlignment="1" applyProtection="1">
      <alignment vertical="center"/>
    </xf>
    <xf numFmtId="0" fontId="92" fillId="0" borderId="2" xfId="0" applyFont="1" applyBorder="1" applyAlignment="1" applyProtection="1">
      <alignment horizontal="center" vertical="center"/>
      <protection locked="0"/>
    </xf>
    <xf numFmtId="49" fontId="80" fillId="0" borderId="10" xfId="0" applyNumberFormat="1" applyFont="1" applyBorder="1" applyAlignment="1" applyProtection="1">
      <alignment vertical="center"/>
    </xf>
    <xf numFmtId="49" fontId="55" fillId="0" borderId="77" xfId="0" applyNumberFormat="1" applyFont="1" applyBorder="1" applyAlignment="1" applyProtection="1">
      <alignment vertical="center"/>
    </xf>
    <xf numFmtId="0" fontId="14" fillId="0" borderId="17" xfId="0" applyFont="1" applyBorder="1" applyAlignment="1" applyProtection="1">
      <alignment vertical="center"/>
    </xf>
    <xf numFmtId="0" fontId="17" fillId="0" borderId="17" xfId="0" applyFont="1" applyBorder="1" applyAlignment="1" applyProtection="1">
      <alignment vertical="center"/>
    </xf>
    <xf numFmtId="49" fontId="55" fillId="0" borderId="17" xfId="0" applyNumberFormat="1" applyFont="1" applyBorder="1" applyAlignment="1" applyProtection="1">
      <alignment vertical="center"/>
    </xf>
    <xf numFmtId="0" fontId="17" fillId="0" borderId="17" xfId="0" applyFont="1" applyBorder="1" applyAlignment="1" applyProtection="1">
      <alignment horizontal="right" vertical="center"/>
    </xf>
    <xf numFmtId="0" fontId="17" fillId="0" borderId="30" xfId="0" applyFont="1" applyBorder="1" applyAlignment="1" applyProtection="1">
      <alignment horizontal="right" vertical="center"/>
    </xf>
    <xf numFmtId="0" fontId="14" fillId="0" borderId="78" xfId="0" applyFont="1" applyBorder="1" applyAlignment="1">
      <alignment vertical="center"/>
    </xf>
    <xf numFmtId="0" fontId="14" fillId="0" borderId="79" xfId="0" applyFont="1" applyBorder="1" applyAlignment="1">
      <alignment vertical="center"/>
    </xf>
    <xf numFmtId="0" fontId="16" fillId="0" borderId="79" xfId="0" applyFont="1" applyBorder="1" applyAlignment="1">
      <alignment vertical="center"/>
    </xf>
    <xf numFmtId="0" fontId="17" fillId="0" borderId="79" xfId="0" applyFont="1" applyBorder="1" applyAlignment="1">
      <alignment horizontal="right" vertical="center"/>
    </xf>
    <xf numFmtId="0" fontId="0" fillId="0" borderId="80" xfId="0" applyBorder="1"/>
    <xf numFmtId="0" fontId="0" fillId="0" borderId="1" xfId="0" applyBorder="1"/>
    <xf numFmtId="0" fontId="7" fillId="0" borderId="1" xfId="0" applyFont="1" applyBorder="1" applyAlignment="1">
      <alignment horizontal="right" vertical="center"/>
    </xf>
    <xf numFmtId="0" fontId="7" fillId="0" borderId="67" xfId="0" applyFont="1" applyBorder="1" applyAlignment="1">
      <alignment horizontal="right" vertical="center"/>
    </xf>
    <xf numFmtId="0" fontId="7" fillId="0" borderId="12" xfId="0" applyFont="1" applyBorder="1" applyAlignment="1">
      <alignment horizontal="right" vertical="center"/>
    </xf>
    <xf numFmtId="0" fontId="7" fillId="0" borderId="81" xfId="0" applyFont="1" applyBorder="1" applyAlignment="1">
      <alignment horizontal="right" vertical="center"/>
    </xf>
    <xf numFmtId="170" fontId="4" fillId="0" borderId="0" xfId="0" applyNumberFormat="1" applyFont="1"/>
    <xf numFmtId="0" fontId="4" fillId="0" borderId="0" xfId="0" applyFont="1"/>
    <xf numFmtId="0" fontId="84" fillId="0" borderId="0" xfId="0" applyFont="1" applyBorder="1" applyAlignment="1" applyProtection="1">
      <alignment horizontal="center" vertical="center"/>
      <protection locked="0"/>
    </xf>
    <xf numFmtId="0" fontId="78" fillId="0" borderId="10" xfId="0" applyFont="1" applyBorder="1" applyAlignment="1" applyProtection="1">
      <alignment horizontal="left" vertical="center"/>
    </xf>
    <xf numFmtId="0" fontId="71" fillId="0" borderId="10" xfId="0" applyFont="1" applyBorder="1" applyAlignment="1" applyProtection="1">
      <alignment horizontal="left" vertical="center"/>
    </xf>
    <xf numFmtId="0" fontId="15" fillId="0" borderId="10" xfId="0" applyFont="1" applyBorder="1" applyAlignment="1" applyProtection="1">
      <alignment horizontal="left" vertical="center"/>
    </xf>
    <xf numFmtId="0" fontId="14" fillId="0" borderId="10" xfId="0" applyFont="1" applyBorder="1" applyAlignment="1" applyProtection="1">
      <alignment horizontal="left" vertical="center"/>
    </xf>
    <xf numFmtId="0" fontId="63" fillId="0" borderId="10" xfId="0" applyFont="1" applyBorder="1" applyAlignment="1" applyProtection="1">
      <alignment horizontal="left" vertical="center"/>
    </xf>
    <xf numFmtId="0" fontId="70" fillId="0" borderId="0" xfId="0" applyFont="1" applyBorder="1" applyAlignment="1" applyProtection="1">
      <alignment horizontal="left" vertical="center"/>
    </xf>
    <xf numFmtId="0" fontId="67" fillId="0" borderId="0" xfId="0" applyFont="1" applyBorder="1" applyAlignment="1" applyProtection="1">
      <alignment horizontal="left" vertical="center"/>
    </xf>
    <xf numFmtId="0" fontId="95" fillId="0" borderId="0" xfId="0" applyFont="1" applyBorder="1" applyAlignment="1" applyProtection="1">
      <alignment horizontal="left" vertical="center"/>
    </xf>
    <xf numFmtId="0" fontId="96" fillId="0" borderId="82" xfId="0" applyFont="1" applyBorder="1" applyAlignment="1" applyProtection="1">
      <alignment horizontal="center" vertical="center"/>
    </xf>
    <xf numFmtId="49" fontId="17" fillId="0" borderId="8" xfId="0" applyNumberFormat="1" applyFont="1" applyFill="1" applyBorder="1" applyAlignment="1" applyProtection="1">
      <alignment vertical="center"/>
      <protection locked="0"/>
    </xf>
    <xf numFmtId="0" fontId="84" fillId="0" borderId="83" xfId="0" applyFont="1" applyBorder="1" applyAlignment="1" applyProtection="1">
      <alignment horizontal="center" vertical="center" wrapText="1"/>
    </xf>
    <xf numFmtId="0" fontId="14" fillId="0" borderId="84" xfId="0" applyFont="1" applyBorder="1" applyAlignment="1" applyProtection="1">
      <alignment vertical="center"/>
    </xf>
    <xf numFmtId="49" fontId="14" fillId="0" borderId="0" xfId="0" applyNumberFormat="1" applyFont="1" applyBorder="1" applyAlignment="1">
      <alignment vertical="center"/>
    </xf>
    <xf numFmtId="49" fontId="17" fillId="3" borderId="85" xfId="0" applyNumberFormat="1" applyFont="1" applyFill="1" applyBorder="1" applyAlignment="1" applyProtection="1">
      <alignment vertical="center"/>
      <protection locked="0"/>
    </xf>
    <xf numFmtId="0" fontId="4" fillId="0" borderId="86" xfId="0" applyFont="1" applyBorder="1" applyAlignment="1" applyProtection="1">
      <alignment vertical="center"/>
    </xf>
    <xf numFmtId="0" fontId="4" fillId="0" borderId="87" xfId="0" applyFont="1" applyBorder="1" applyAlignment="1" applyProtection="1">
      <alignment vertical="center"/>
    </xf>
    <xf numFmtId="0" fontId="35" fillId="0" borderId="5" xfId="0" applyFont="1" applyBorder="1" applyAlignment="1" applyProtection="1">
      <alignment horizontal="center" vertical="center"/>
    </xf>
    <xf numFmtId="0" fontId="16" fillId="0" borderId="0" xfId="0" applyFont="1" applyBorder="1" applyAlignment="1" applyProtection="1">
      <alignment horizontal="right" vertical="center"/>
    </xf>
    <xf numFmtId="0" fontId="14" fillId="0" borderId="10" xfId="0" applyFont="1" applyBorder="1" applyAlignment="1" applyProtection="1">
      <alignment vertical="center"/>
    </xf>
    <xf numFmtId="49" fontId="55" fillId="0" borderId="52" xfId="0" applyNumberFormat="1" applyFont="1" applyBorder="1" applyAlignment="1" applyProtection="1">
      <alignment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37" fillId="0" borderId="13" xfId="0" applyFont="1" applyBorder="1" applyAlignment="1" applyProtection="1">
      <alignment horizontal="center" vertical="center"/>
    </xf>
    <xf numFmtId="0" fontId="43" fillId="0" borderId="58" xfId="0" applyFont="1" applyFill="1" applyBorder="1" applyAlignment="1" applyProtection="1">
      <alignment horizontal="left" vertical="center"/>
    </xf>
    <xf numFmtId="0" fontId="17" fillId="0" borderId="7" xfId="0" applyFont="1" applyBorder="1" applyAlignment="1" applyProtection="1">
      <alignment horizontal="right" vertical="center"/>
    </xf>
    <xf numFmtId="0" fontId="16" fillId="0" borderId="10" xfId="0" applyFont="1" applyBorder="1" applyAlignment="1">
      <alignment horizontal="right" vertical="center"/>
    </xf>
    <xf numFmtId="0" fontId="14" fillId="0" borderId="88" xfId="0" applyFont="1" applyBorder="1" applyAlignment="1">
      <alignment vertical="center"/>
    </xf>
    <xf numFmtId="0" fontId="14" fillId="0" borderId="53" xfId="0" applyFont="1" applyBorder="1" applyAlignment="1">
      <alignment vertical="center"/>
    </xf>
    <xf numFmtId="0" fontId="16" fillId="0" borderId="8" xfId="0" applyFont="1" applyFill="1" applyBorder="1" applyAlignment="1" applyProtection="1">
      <alignment horizontal="right" vertical="center"/>
    </xf>
    <xf numFmtId="6" fontId="16" fillId="1" borderId="42" xfId="0" applyNumberFormat="1" applyFont="1" applyFill="1" applyBorder="1" applyAlignment="1" applyProtection="1">
      <alignment horizontal="right" vertical="center"/>
    </xf>
    <xf numFmtId="0" fontId="4" fillId="0" borderId="8" xfId="0" applyFont="1" applyFill="1" applyBorder="1" applyAlignment="1" applyProtection="1">
      <alignment horizontal="right" vertical="center"/>
    </xf>
    <xf numFmtId="170" fontId="7" fillId="4" borderId="57" xfId="0" applyNumberFormat="1" applyFont="1" applyFill="1" applyBorder="1" applyAlignment="1" applyProtection="1">
      <alignment horizontal="right" vertical="center"/>
    </xf>
    <xf numFmtId="0" fontId="92" fillId="0" borderId="9" xfId="0" applyFont="1" applyBorder="1" applyAlignment="1" applyProtection="1">
      <alignment horizontal="center" vertical="center"/>
    </xf>
    <xf numFmtId="0" fontId="84" fillId="0" borderId="10" xfId="0" applyFont="1" applyBorder="1" applyAlignment="1" applyProtection="1">
      <alignment horizontal="center" vertical="center"/>
    </xf>
    <xf numFmtId="0" fontId="92" fillId="0" borderId="2" xfId="0" applyFont="1" applyBorder="1" applyAlignment="1" applyProtection="1">
      <alignment horizontal="center" vertical="center"/>
    </xf>
    <xf numFmtId="0" fontId="84" fillId="0" borderId="0" xfId="0" applyFont="1" applyBorder="1" applyAlignment="1" applyProtection="1">
      <alignment horizontal="center" vertical="center"/>
    </xf>
    <xf numFmtId="0" fontId="14" fillId="0" borderId="18" xfId="0" applyFont="1" applyBorder="1" applyAlignment="1" applyProtection="1">
      <alignment vertical="center"/>
    </xf>
    <xf numFmtId="0" fontId="94" fillId="0" borderId="0" xfId="13" applyFont="1" applyFill="1" applyBorder="1" applyAlignment="1" applyProtection="1">
      <alignment vertical="center"/>
    </xf>
    <xf numFmtId="0" fontId="94" fillId="0" borderId="13" xfId="13" applyFont="1" applyFill="1" applyBorder="1" applyAlignment="1" applyProtection="1">
      <alignment vertical="center"/>
    </xf>
    <xf numFmtId="173" fontId="102" fillId="0" borderId="2" xfId="13" applyNumberFormat="1" applyFont="1" applyFill="1" applyBorder="1" applyAlignment="1" applyProtection="1">
      <alignment vertical="center"/>
    </xf>
    <xf numFmtId="0" fontId="94" fillId="0" borderId="8" xfId="13" applyFont="1" applyFill="1" applyBorder="1" applyAlignment="1" applyProtection="1">
      <alignment vertical="center"/>
    </xf>
    <xf numFmtId="0" fontId="15" fillId="0" borderId="0" xfId="0" applyFont="1" applyBorder="1" applyAlignment="1" applyProtection="1">
      <alignment horizontal="right" vertical="center"/>
    </xf>
    <xf numFmtId="0" fontId="14" fillId="0" borderId="13" xfId="0" applyFont="1" applyBorder="1" applyAlignment="1" applyProtection="1">
      <alignment vertical="center"/>
    </xf>
    <xf numFmtId="0" fontId="101" fillId="0" borderId="0" xfId="13" applyFont="1" applyFill="1" applyBorder="1" applyAlignment="1" applyProtection="1">
      <alignment horizontal="right" vertical="center"/>
    </xf>
    <xf numFmtId="0" fontId="93" fillId="0" borderId="34" xfId="0" applyFont="1" applyFill="1" applyBorder="1" applyAlignment="1" applyProtection="1">
      <alignment horizontal="center" vertical="center" wrapText="1"/>
    </xf>
    <xf numFmtId="0" fontId="93" fillId="0" borderId="13" xfId="13" applyFont="1" applyFill="1" applyBorder="1" applyAlignment="1" applyProtection="1">
      <alignment vertical="center"/>
    </xf>
    <xf numFmtId="0" fontId="15" fillId="0" borderId="13" xfId="0" applyFont="1" applyBorder="1" applyAlignment="1" applyProtection="1">
      <alignment horizontal="right" vertical="center"/>
    </xf>
    <xf numFmtId="0" fontId="94" fillId="0" borderId="89" xfId="13" applyFont="1" applyFill="1" applyBorder="1" applyAlignment="1" applyProtection="1">
      <alignment vertical="center"/>
    </xf>
    <xf numFmtId="0" fontId="6" fillId="0" borderId="3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0" fontId="16" fillId="0" borderId="90" xfId="0" applyFont="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92" xfId="0" applyFont="1" applyFill="1" applyBorder="1" applyAlignment="1" applyProtection="1">
      <alignment horizontal="right" vertical="center"/>
    </xf>
    <xf numFmtId="0" fontId="16" fillId="0" borderId="93" xfId="0" applyFont="1" applyFill="1" applyBorder="1" applyAlignment="1" applyProtection="1">
      <alignment horizontal="right" vertical="center"/>
    </xf>
    <xf numFmtId="0" fontId="16" fillId="0" borderId="93" xfId="0" applyFont="1" applyBorder="1" applyAlignment="1" applyProtection="1">
      <alignment horizontal="right" vertical="center"/>
    </xf>
    <xf numFmtId="0" fontId="16" fillId="0" borderId="92" xfId="0" applyFont="1" applyBorder="1" applyAlignment="1" applyProtection="1">
      <alignment horizontal="right" vertical="center"/>
    </xf>
    <xf numFmtId="0" fontId="16" fillId="0" borderId="94" xfId="0" applyFont="1" applyBorder="1" applyAlignment="1" applyProtection="1">
      <alignment horizontal="right" vertical="center"/>
    </xf>
    <xf numFmtId="0" fontId="16" fillId="0" borderId="95" xfId="0" applyFont="1" applyFill="1" applyBorder="1" applyAlignment="1" applyProtection="1">
      <alignment horizontal="right" vertical="center"/>
    </xf>
    <xf numFmtId="0" fontId="16" fillId="0" borderId="96" xfId="0" applyFont="1" applyFill="1" applyBorder="1" applyAlignment="1" applyProtection="1">
      <alignment horizontal="right" vertical="center"/>
    </xf>
    <xf numFmtId="0" fontId="16" fillId="0" borderId="97" xfId="0" applyFont="1" applyFill="1" applyBorder="1" applyAlignment="1" applyProtection="1">
      <alignment horizontal="right" vertical="center"/>
    </xf>
    <xf numFmtId="0" fontId="16" fillId="0" borderId="94" xfId="0" applyFont="1" applyFill="1" applyBorder="1" applyAlignment="1" applyProtection="1">
      <alignment horizontal="right" vertical="center"/>
    </xf>
    <xf numFmtId="1" fontId="76" fillId="0" borderId="14" xfId="0" applyNumberFormat="1" applyFont="1" applyFill="1" applyBorder="1" applyAlignment="1" applyProtection="1">
      <alignment horizontal="left" vertical="center"/>
    </xf>
    <xf numFmtId="0" fontId="16" fillId="0" borderId="98" xfId="0" applyFont="1" applyFill="1" applyBorder="1" applyAlignment="1" applyProtection="1">
      <alignment horizontal="right" vertical="center"/>
    </xf>
    <xf numFmtId="0" fontId="16" fillId="0" borderId="99" xfId="0" applyFont="1" applyFill="1" applyBorder="1" applyAlignment="1" applyProtection="1">
      <alignment horizontal="right" vertical="center"/>
    </xf>
    <xf numFmtId="0" fontId="4" fillId="0" borderId="92" xfId="0" applyFont="1" applyFill="1" applyBorder="1" applyAlignment="1" applyProtection="1">
      <alignment horizontal="right" vertical="center"/>
    </xf>
    <xf numFmtId="0" fontId="14" fillId="0" borderId="100" xfId="0" applyFont="1" applyBorder="1" applyAlignment="1">
      <alignment horizontal="right" vertical="center"/>
    </xf>
    <xf numFmtId="0" fontId="16" fillId="0" borderId="101"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0" fontId="25" fillId="0" borderId="102" xfId="0" applyFont="1" applyFill="1" applyBorder="1" applyAlignment="1" applyProtection="1">
      <alignment horizontal="right" vertical="center"/>
    </xf>
    <xf numFmtId="0" fontId="16" fillId="0" borderId="103" xfId="0" applyFont="1" applyFill="1" applyBorder="1" applyAlignment="1" applyProtection="1">
      <alignment horizontal="right" vertical="center"/>
    </xf>
    <xf numFmtId="0" fontId="16" fillId="0" borderId="103" xfId="0" applyFont="1" applyFill="1" applyBorder="1" applyAlignment="1" applyProtection="1">
      <alignment horizontal="right" vertical="center" wrapText="1"/>
    </xf>
    <xf numFmtId="0" fontId="16" fillId="0" borderId="103" xfId="0" applyFont="1" applyBorder="1" applyAlignment="1" applyProtection="1">
      <alignment horizontal="right" vertical="center"/>
    </xf>
    <xf numFmtId="0" fontId="16" fillId="0" borderId="104" xfId="0" applyFont="1" applyBorder="1" applyAlignment="1" applyProtection="1">
      <alignment horizontal="right" vertical="center"/>
    </xf>
    <xf numFmtId="0" fontId="16" fillId="0" borderId="105" xfId="0" applyFont="1" applyBorder="1" applyAlignment="1" applyProtection="1">
      <alignment horizontal="right" vertical="center"/>
    </xf>
    <xf numFmtId="0" fontId="16" fillId="0" borderId="106" xfId="0" applyFont="1" applyBorder="1" applyAlignment="1" applyProtection="1">
      <alignment horizontal="right" vertical="center"/>
    </xf>
    <xf numFmtId="0" fontId="16" fillId="0" borderId="107" xfId="0" applyFont="1" applyBorder="1" applyAlignment="1" applyProtection="1">
      <alignment horizontal="right" vertical="center"/>
    </xf>
    <xf numFmtId="0" fontId="103" fillId="0" borderId="24" xfId="0" applyFont="1" applyFill="1" applyBorder="1" applyAlignment="1" applyProtection="1">
      <alignment horizontal="center" vertical="center"/>
    </xf>
    <xf numFmtId="0" fontId="33" fillId="0" borderId="8" xfId="0" applyFont="1" applyBorder="1" applyAlignment="1">
      <alignment horizontal="left" vertical="center"/>
    </xf>
    <xf numFmtId="0" fontId="16" fillId="0" borderId="108" xfId="0" applyFont="1" applyBorder="1" applyAlignment="1" applyProtection="1">
      <alignment horizontal="right" vertical="center"/>
    </xf>
    <xf numFmtId="0" fontId="16" fillId="0" borderId="109" xfId="0" applyFont="1" applyFill="1" applyBorder="1" applyAlignment="1" applyProtection="1">
      <alignment horizontal="right" vertical="center"/>
    </xf>
    <xf numFmtId="0" fontId="16" fillId="0" borderId="110" xfId="0" applyFont="1" applyFill="1" applyBorder="1" applyAlignment="1" applyProtection="1">
      <alignment horizontal="right" vertical="center"/>
    </xf>
    <xf numFmtId="0" fontId="7" fillId="4" borderId="111" xfId="0" applyFont="1" applyFill="1" applyBorder="1" applyAlignment="1" applyProtection="1">
      <alignment horizontal="center" vertical="center" wrapText="1"/>
    </xf>
    <xf numFmtId="0" fontId="14" fillId="0" borderId="112" xfId="0" applyFont="1" applyBorder="1" applyAlignment="1">
      <alignment horizontal="right" vertical="center"/>
    </xf>
    <xf numFmtId="0" fontId="14" fillId="0" borderId="105" xfId="0" applyFont="1" applyBorder="1" applyAlignment="1">
      <alignment horizontal="right" vertical="center"/>
    </xf>
    <xf numFmtId="0" fontId="14" fillId="0" borderId="113" xfId="0" applyFont="1" applyBorder="1" applyAlignment="1">
      <alignment horizontal="right" vertical="center"/>
    </xf>
    <xf numFmtId="0" fontId="14" fillId="0" borderId="114" xfId="0" applyFont="1" applyBorder="1" applyAlignment="1">
      <alignment horizontal="right" vertical="center"/>
    </xf>
    <xf numFmtId="0" fontId="14" fillId="0" borderId="20" xfId="0" applyFont="1" applyBorder="1" applyAlignment="1">
      <alignment horizontal="right" vertical="center"/>
    </xf>
    <xf numFmtId="0" fontId="14" fillId="0" borderId="115" xfId="0" applyFont="1" applyBorder="1" applyAlignment="1">
      <alignment horizontal="right" vertical="center"/>
    </xf>
    <xf numFmtId="0" fontId="14" fillId="0" borderId="116" xfId="0" applyFont="1" applyBorder="1" applyAlignment="1">
      <alignment horizontal="right" vertical="center"/>
    </xf>
    <xf numFmtId="0" fontId="14" fillId="0" borderId="117" xfId="0" applyFont="1" applyBorder="1" applyAlignment="1">
      <alignment horizontal="right" vertical="center"/>
    </xf>
    <xf numFmtId="0" fontId="85" fillId="0" borderId="10" xfId="0" applyFont="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98" fillId="0" borderId="2" xfId="0" applyFont="1" applyBorder="1" applyAlignment="1">
      <alignment horizontal="center" vertical="center"/>
    </xf>
    <xf numFmtId="0" fontId="98" fillId="0" borderId="0" xfId="0" applyFont="1" applyBorder="1" applyAlignment="1">
      <alignment horizontal="center" vertical="center"/>
    </xf>
    <xf numFmtId="0" fontId="14" fillId="0" borderId="0" xfId="0" applyFont="1" applyBorder="1" applyAlignment="1">
      <alignment horizontal="left" vertical="center"/>
    </xf>
    <xf numFmtId="49" fontId="55" fillId="0" borderId="118" xfId="0" applyNumberFormat="1" applyFont="1" applyBorder="1" applyAlignment="1" applyProtection="1">
      <alignment horizontal="left" vertical="center"/>
    </xf>
    <xf numFmtId="49" fontId="55" fillId="0" borderId="76" xfId="0" applyNumberFormat="1" applyFont="1" applyBorder="1" applyAlignment="1" applyProtection="1">
      <alignment horizontal="left" vertical="center"/>
    </xf>
    <xf numFmtId="176" fontId="55" fillId="0" borderId="24" xfId="0" applyNumberFormat="1" applyFont="1" applyBorder="1" applyAlignment="1" applyProtection="1">
      <alignment horizontal="center" vertical="center"/>
    </xf>
    <xf numFmtId="9" fontId="104" fillId="0" borderId="111" xfId="0" applyNumberFormat="1" applyFont="1" applyFill="1" applyBorder="1" applyAlignment="1" applyProtection="1">
      <alignment horizontal="center" vertical="center"/>
    </xf>
    <xf numFmtId="0" fontId="27" fillId="0" borderId="60" xfId="0" applyFont="1" applyFill="1" applyBorder="1" applyAlignment="1" applyProtection="1">
      <alignment horizontal="center" vertical="center"/>
    </xf>
    <xf numFmtId="0" fontId="67" fillId="0" borderId="0" xfId="0" applyFont="1" applyBorder="1" applyAlignment="1" applyProtection="1">
      <alignment horizontal="right" vertical="center"/>
    </xf>
    <xf numFmtId="0" fontId="63" fillId="0" borderId="10" xfId="0" applyFont="1" applyBorder="1" applyAlignment="1" applyProtection="1">
      <alignment horizontal="center" vertical="center"/>
    </xf>
    <xf numFmtId="0" fontId="89" fillId="0" borderId="0" xfId="0" applyFont="1" applyBorder="1" applyAlignment="1">
      <alignment horizontal="left" vertical="center"/>
    </xf>
    <xf numFmtId="49" fontId="16" fillId="0" borderId="0" xfId="0" applyNumberFormat="1" applyFont="1" applyFill="1" applyBorder="1" applyAlignment="1" applyProtection="1">
      <alignment horizontal="right" vertical="center"/>
    </xf>
    <xf numFmtId="49" fontId="16" fillId="0" borderId="85" xfId="0" applyNumberFormat="1" applyFont="1" applyBorder="1" applyAlignment="1">
      <alignment horizontal="right" vertical="center"/>
    </xf>
    <xf numFmtId="1" fontId="107" fillId="7" borderId="19" xfId="0" applyNumberFormat="1" applyFont="1" applyFill="1" applyBorder="1" applyAlignment="1" applyProtection="1">
      <alignment horizontal="center" vertical="center"/>
      <protection locked="0"/>
    </xf>
    <xf numFmtId="49" fontId="17" fillId="0" borderId="44" xfId="0" applyNumberFormat="1" applyFont="1" applyBorder="1" applyAlignment="1" applyProtection="1">
      <alignment horizontal="center" vertical="center"/>
    </xf>
    <xf numFmtId="0" fontId="17" fillId="0" borderId="10" xfId="0" applyFont="1" applyBorder="1" applyAlignment="1" applyProtection="1">
      <alignment horizontal="right" vertical="center"/>
    </xf>
    <xf numFmtId="170" fontId="4" fillId="7" borderId="8" xfId="0" applyNumberFormat="1" applyFont="1" applyFill="1" applyBorder="1" applyAlignment="1" applyProtection="1">
      <alignment horizontal="right" vertical="center"/>
    </xf>
    <xf numFmtId="0" fontId="7" fillId="4" borderId="111" xfId="0" applyFont="1" applyFill="1" applyBorder="1" applyAlignment="1" applyProtection="1">
      <alignment horizontal="center" vertical="top" wrapText="1"/>
    </xf>
    <xf numFmtId="172" fontId="7" fillId="8" borderId="119" xfId="0" applyNumberFormat="1" applyFont="1" applyFill="1" applyBorder="1" applyAlignment="1" applyProtection="1">
      <alignment horizontal="center" vertical="center" wrapText="1"/>
    </xf>
    <xf numFmtId="174" fontId="14" fillId="0" borderId="8" xfId="0" applyNumberFormat="1" applyFont="1" applyBorder="1" applyAlignment="1">
      <alignment horizontal="left" vertical="center"/>
    </xf>
    <xf numFmtId="0" fontId="84" fillId="0" borderId="0" xfId="0" applyFont="1" applyBorder="1" applyAlignment="1">
      <alignment vertical="center"/>
    </xf>
    <xf numFmtId="0" fontId="17" fillId="4" borderId="111" xfId="0" applyFont="1" applyFill="1" applyBorder="1" applyAlignment="1" applyProtection="1">
      <alignment horizontal="center" vertical="top" wrapText="1"/>
    </xf>
    <xf numFmtId="0" fontId="17" fillId="8" borderId="120" xfId="0" applyFont="1" applyFill="1" applyBorder="1" applyAlignment="1" applyProtection="1">
      <alignment horizontal="center" vertical="top" wrapText="1"/>
    </xf>
    <xf numFmtId="172" fontId="7" fillId="8" borderId="75" xfId="0" applyNumberFormat="1" applyFont="1" applyFill="1" applyBorder="1" applyAlignment="1" applyProtection="1">
      <alignment horizontal="center" vertical="top" wrapText="1"/>
    </xf>
    <xf numFmtId="0" fontId="46" fillId="0" borderId="13" xfId="13" applyFont="1" applyFill="1" applyBorder="1" applyAlignment="1" applyProtection="1">
      <alignment horizontal="left" vertical="center"/>
    </xf>
    <xf numFmtId="49" fontId="16" fillId="0" borderId="13" xfId="0" applyNumberFormat="1" applyFont="1" applyBorder="1" applyAlignment="1" applyProtection="1">
      <alignment vertical="center"/>
    </xf>
    <xf numFmtId="0" fontId="14" fillId="0" borderId="0" xfId="0" applyFont="1" applyBorder="1" applyAlignment="1">
      <alignment vertical="center" wrapText="1"/>
    </xf>
    <xf numFmtId="49" fontId="33"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3" fillId="0" borderId="8" xfId="0" applyFont="1" applyBorder="1" applyAlignment="1" applyProtection="1">
      <alignment vertical="center"/>
    </xf>
    <xf numFmtId="174" fontId="14" fillId="0" borderId="0" xfId="0" applyNumberFormat="1" applyFont="1" applyBorder="1" applyAlignment="1" applyProtection="1">
      <alignment horizontal="left" vertical="center"/>
    </xf>
    <xf numFmtId="0" fontId="29" fillId="0" borderId="0" xfId="0" applyNumberFormat="1" applyFont="1" applyBorder="1" applyAlignment="1" applyProtection="1">
      <alignment horizontal="left" vertical="center"/>
    </xf>
    <xf numFmtId="0" fontId="7" fillId="4" borderId="121" xfId="0" applyFont="1" applyFill="1" applyBorder="1" applyAlignment="1" applyProtection="1">
      <alignment horizontal="center" vertical="top" wrapText="1"/>
    </xf>
    <xf numFmtId="0" fontId="99" fillId="4" borderId="14" xfId="0" applyFont="1" applyFill="1" applyBorder="1" applyAlignment="1" applyProtection="1">
      <alignment horizontal="center" vertical="top"/>
    </xf>
    <xf numFmtId="176" fontId="64" fillId="2" borderId="14" xfId="0" applyNumberFormat="1" applyFont="1" applyFill="1" applyBorder="1" applyAlignment="1" applyProtection="1">
      <alignment horizontal="right"/>
    </xf>
    <xf numFmtId="15" fontId="64" fillId="0" borderId="89" xfId="0" applyNumberFormat="1" applyFont="1" applyBorder="1" applyAlignment="1" applyProtection="1">
      <alignment horizontal="right"/>
    </xf>
    <xf numFmtId="0" fontId="36" fillId="0" borderId="42" xfId="0" applyFont="1" applyBorder="1" applyAlignment="1">
      <alignment vertical="center"/>
    </xf>
    <xf numFmtId="0" fontId="0" fillId="0" borderId="2" xfId="0" applyBorder="1"/>
    <xf numFmtId="0" fontId="7" fillId="0" borderId="0" xfId="0" applyFont="1" applyBorder="1" applyAlignment="1" applyProtection="1">
      <alignment horizontal="right" vertical="center"/>
    </xf>
    <xf numFmtId="49" fontId="33" fillId="0" borderId="0" xfId="0" quotePrefix="1" applyNumberFormat="1" applyFont="1" applyFill="1" applyBorder="1" applyAlignment="1" applyProtection="1">
      <alignment horizontal="left" vertical="center" wrapText="1"/>
    </xf>
    <xf numFmtId="15" fontId="64" fillId="0" borderId="8" xfId="0" applyNumberFormat="1" applyFont="1" applyBorder="1" applyAlignment="1" applyProtection="1">
      <alignment horizontal="left" vertical="center"/>
    </xf>
    <xf numFmtId="174" fontId="31" fillId="0" borderId="42" xfId="0" applyNumberFormat="1" applyFont="1" applyBorder="1" applyAlignment="1" applyProtection="1">
      <alignment horizontal="left" vertical="center"/>
    </xf>
    <xf numFmtId="0" fontId="14" fillId="0" borderId="11" xfId="0" applyFont="1" applyBorder="1" applyAlignment="1" applyProtection="1">
      <alignment vertical="center"/>
    </xf>
    <xf numFmtId="49" fontId="5" fillId="0" borderId="7" xfId="0" applyNumberFormat="1" applyFont="1" applyFill="1" applyBorder="1" applyAlignment="1" applyProtection="1">
      <alignment horizontal="center" vertical="center"/>
    </xf>
    <xf numFmtId="0" fontId="90" fillId="0" borderId="9" xfId="0" applyFont="1" applyBorder="1" applyAlignment="1" applyProtection="1">
      <alignment vertical="center"/>
    </xf>
    <xf numFmtId="0" fontId="82" fillId="0" borderId="2" xfId="0" applyFont="1" applyBorder="1" applyAlignment="1" applyProtection="1">
      <alignment vertical="center"/>
    </xf>
    <xf numFmtId="0" fontId="14" fillId="0" borderId="112" xfId="0" applyFont="1" applyBorder="1" applyAlignment="1" applyProtection="1">
      <alignment horizontal="right" vertical="center"/>
    </xf>
    <xf numFmtId="49" fontId="17" fillId="9" borderId="122" xfId="0" applyNumberFormat="1" applyFont="1" applyFill="1" applyBorder="1" applyAlignment="1" applyProtection="1">
      <alignment horizontal="left" vertical="center"/>
    </xf>
    <xf numFmtId="0" fontId="14" fillId="0" borderId="88" xfId="0" applyFont="1" applyBorder="1" applyAlignment="1" applyProtection="1">
      <alignment vertical="center"/>
    </xf>
    <xf numFmtId="0" fontId="16" fillId="0" borderId="10" xfId="0" applyFont="1" applyBorder="1" applyAlignment="1" applyProtection="1">
      <alignment horizontal="right" vertical="center"/>
    </xf>
    <xf numFmtId="0" fontId="14" fillId="0" borderId="105" xfId="0" applyFont="1" applyBorder="1" applyAlignment="1" applyProtection="1">
      <alignment horizontal="right" vertical="center"/>
    </xf>
    <xf numFmtId="177" fontId="17" fillId="3" borderId="19"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7" fillId="3" borderId="19" xfId="0" applyNumberFormat="1" applyFont="1" applyFill="1" applyBorder="1" applyAlignment="1" applyProtection="1">
      <alignment vertical="center"/>
    </xf>
    <xf numFmtId="49" fontId="14" fillId="0" borderId="8" xfId="0" applyNumberFormat="1" applyFont="1" applyBorder="1" applyAlignment="1" applyProtection="1">
      <alignment vertical="center"/>
    </xf>
    <xf numFmtId="178" fontId="17" fillId="3" borderId="19" xfId="0" applyNumberFormat="1" applyFont="1" applyFill="1" applyBorder="1" applyAlignment="1" applyProtection="1">
      <alignment horizontal="left" vertical="center"/>
    </xf>
    <xf numFmtId="49" fontId="17" fillId="3" borderId="24" xfId="0" applyNumberFormat="1" applyFont="1" applyFill="1" applyBorder="1" applyAlignment="1" applyProtection="1">
      <alignment horizontal="left" vertical="center"/>
    </xf>
    <xf numFmtId="49" fontId="16" fillId="0" borderId="8" xfId="0" applyNumberFormat="1" applyFont="1" applyFill="1" applyBorder="1" applyAlignment="1" applyProtection="1">
      <alignment vertical="center"/>
    </xf>
    <xf numFmtId="0" fontId="25" fillId="3" borderId="30" xfId="0" applyFont="1" applyFill="1" applyBorder="1" applyAlignment="1" applyProtection="1">
      <alignment horizontal="center" vertical="center"/>
    </xf>
    <xf numFmtId="0" fontId="14" fillId="0" borderId="113" xfId="0" applyFont="1" applyBorder="1" applyAlignment="1" applyProtection="1">
      <alignment horizontal="right" vertical="center"/>
    </xf>
    <xf numFmtId="0" fontId="14" fillId="0" borderId="114" xfId="0" applyFont="1" applyBorder="1" applyAlignment="1" applyProtection="1">
      <alignment horizontal="right" vertical="center"/>
    </xf>
    <xf numFmtId="49" fontId="17" fillId="3" borderId="118" xfId="0" applyNumberFormat="1" applyFont="1" applyFill="1" applyBorder="1" applyAlignment="1" applyProtection="1">
      <alignment horizontal="left" vertical="center"/>
    </xf>
    <xf numFmtId="49" fontId="17" fillId="3" borderId="42"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vertical="center"/>
    </xf>
    <xf numFmtId="49" fontId="16" fillId="0" borderId="85" xfId="0" applyNumberFormat="1" applyFont="1" applyBorder="1" applyAlignment="1" applyProtection="1">
      <alignment horizontal="right" vertical="center"/>
    </xf>
    <xf numFmtId="49" fontId="17" fillId="3" borderId="85" xfId="0" applyNumberFormat="1" applyFont="1" applyFill="1" applyBorder="1" applyAlignment="1" applyProtection="1">
      <alignment vertical="center"/>
    </xf>
    <xf numFmtId="49" fontId="17" fillId="3" borderId="42"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17" fillId="0" borderId="8" xfId="0" applyNumberFormat="1" applyFont="1" applyFill="1" applyBorder="1" applyAlignment="1" applyProtection="1">
      <alignment vertical="center"/>
    </xf>
    <xf numFmtId="49" fontId="17" fillId="3" borderId="19"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176" fontId="17" fillId="3" borderId="19" xfId="0" applyNumberFormat="1" applyFont="1" applyFill="1" applyBorder="1" applyAlignment="1" applyProtection="1">
      <alignment horizontal="left" vertical="center"/>
    </xf>
    <xf numFmtId="0" fontId="14" fillId="0" borderId="20" xfId="0" applyFont="1" applyBorder="1" applyAlignment="1" applyProtection="1">
      <alignment horizontal="right" vertical="center"/>
    </xf>
    <xf numFmtId="1" fontId="107" fillId="7" borderId="19" xfId="0" applyNumberFormat="1" applyFont="1" applyFill="1" applyBorder="1" applyAlignment="1" applyProtection="1">
      <alignment horizontal="center" vertical="center"/>
    </xf>
    <xf numFmtId="0" fontId="14" fillId="0" borderId="115" xfId="0" applyFont="1" applyBorder="1" applyAlignment="1" applyProtection="1">
      <alignment horizontal="right" vertical="center"/>
    </xf>
    <xf numFmtId="176" fontId="17" fillId="3" borderId="30" xfId="0" applyNumberFormat="1" applyFont="1" applyFill="1" applyBorder="1" applyAlignment="1" applyProtection="1">
      <alignment horizontal="left" vertical="center"/>
    </xf>
    <xf numFmtId="0" fontId="14" fillId="0" borderId="116" xfId="0" applyFont="1" applyBorder="1" applyAlignment="1" applyProtection="1">
      <alignment horizontal="right" vertical="center"/>
    </xf>
    <xf numFmtId="0" fontId="14" fillId="0" borderId="100" xfId="0" applyFont="1" applyBorder="1" applyAlignment="1" applyProtection="1">
      <alignment horizontal="right" vertical="center"/>
    </xf>
    <xf numFmtId="0" fontId="25" fillId="3" borderId="52" xfId="0" applyFont="1" applyFill="1" applyBorder="1" applyAlignment="1" applyProtection="1">
      <alignment horizontal="center" vertical="center"/>
    </xf>
    <xf numFmtId="0" fontId="14" fillId="0" borderId="117" xfId="0" applyFont="1" applyBorder="1" applyAlignment="1" applyProtection="1">
      <alignment horizontal="right" vertical="center"/>
    </xf>
    <xf numFmtId="0" fontId="25" fillId="3" borderId="123" xfId="0" applyFont="1" applyFill="1" applyBorder="1" applyAlignment="1" applyProtection="1">
      <alignment horizontal="center" vertical="center"/>
    </xf>
    <xf numFmtId="0" fontId="25" fillId="3" borderId="124" xfId="0" applyFont="1" applyFill="1" applyBorder="1" applyAlignment="1" applyProtection="1">
      <alignment horizontal="center" vertical="center"/>
    </xf>
    <xf numFmtId="0" fontId="25" fillId="3" borderId="125"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170" fontId="7" fillId="7" borderId="6" xfId="0" applyNumberFormat="1" applyFont="1" applyFill="1" applyBorder="1" applyAlignment="1" applyProtection="1">
      <alignment horizontal="right" vertical="center"/>
    </xf>
    <xf numFmtId="0" fontId="25" fillId="0" borderId="74" xfId="0" applyFont="1" applyFill="1" applyBorder="1" applyAlignment="1" applyProtection="1">
      <alignment horizontal="center" vertical="center"/>
    </xf>
    <xf numFmtId="0" fontId="111" fillId="0" borderId="126" xfId="0" applyFont="1" applyBorder="1" applyAlignment="1">
      <alignment horizontal="right"/>
    </xf>
    <xf numFmtId="172" fontId="19" fillId="0" borderId="71" xfId="0" applyNumberFormat="1" applyFont="1" applyFill="1" applyBorder="1" applyAlignment="1">
      <alignment horizontal="right"/>
    </xf>
    <xf numFmtId="169" fontId="19" fillId="0" borderId="123" xfId="15" applyNumberFormat="1" applyFont="1" applyFill="1" applyBorder="1" applyAlignment="1">
      <alignment horizontal="center"/>
    </xf>
    <xf numFmtId="172" fontId="19" fillId="0" borderId="127" xfId="0" applyNumberFormat="1" applyFont="1" applyFill="1" applyBorder="1" applyAlignment="1">
      <alignment horizontal="right"/>
    </xf>
    <xf numFmtId="172" fontId="19" fillId="0" borderId="19" xfId="0" applyNumberFormat="1" applyFont="1" applyBorder="1" applyAlignment="1">
      <alignment horizontal="right"/>
    </xf>
    <xf numFmtId="169" fontId="19" fillId="0" borderId="125" xfId="15" applyNumberFormat="1" applyFont="1" applyBorder="1" applyAlignment="1">
      <alignment horizontal="center"/>
    </xf>
    <xf numFmtId="172" fontId="19" fillId="0" borderId="127" xfId="0" applyNumberFormat="1" applyFont="1" applyBorder="1" applyAlignment="1">
      <alignment horizontal="right"/>
    </xf>
    <xf numFmtId="172" fontId="19" fillId="0" borderId="128" xfId="0" applyNumberFormat="1" applyFont="1" applyBorder="1" applyAlignment="1">
      <alignment horizontal="right"/>
    </xf>
    <xf numFmtId="172" fontId="19" fillId="0" borderId="129" xfId="0" applyNumberFormat="1" applyFont="1" applyBorder="1" applyAlignment="1">
      <alignment horizontal="right"/>
    </xf>
    <xf numFmtId="172" fontId="111" fillId="0" borderId="129" xfId="0" applyNumberFormat="1" applyFont="1" applyBorder="1" applyAlignment="1">
      <alignment horizontal="right"/>
    </xf>
    <xf numFmtId="169" fontId="19" fillId="0" borderId="130" xfId="15" applyNumberFormat="1" applyFont="1" applyBorder="1" applyAlignment="1">
      <alignment horizontal="center"/>
    </xf>
    <xf numFmtId="0" fontId="0" fillId="0" borderId="0" xfId="0" applyFill="1" applyAlignment="1">
      <alignment horizontal="center"/>
    </xf>
    <xf numFmtId="172" fontId="19" fillId="0" borderId="126" xfId="0" applyNumberFormat="1" applyFont="1" applyFill="1" applyBorder="1" applyAlignment="1">
      <alignment horizontal="right" vertical="center"/>
    </xf>
    <xf numFmtId="172" fontId="111" fillId="0" borderId="12" xfId="0" applyNumberFormat="1" applyFont="1" applyFill="1" applyBorder="1" applyAlignment="1">
      <alignment horizontal="right"/>
    </xf>
    <xf numFmtId="10" fontId="19" fillId="0" borderId="123" xfId="0" applyNumberFormat="1" applyFont="1" applyFill="1" applyBorder="1" applyAlignment="1">
      <alignment horizontal="center"/>
    </xf>
    <xf numFmtId="172" fontId="19" fillId="0" borderId="19" xfId="0" applyNumberFormat="1" applyFont="1" applyFill="1" applyBorder="1" applyAlignment="1">
      <alignment horizontal="right" vertical="center"/>
    </xf>
    <xf numFmtId="10" fontId="19" fillId="0" borderId="125" xfId="15" applyNumberFormat="1" applyFont="1" applyFill="1" applyBorder="1" applyAlignment="1">
      <alignment horizontal="center"/>
    </xf>
    <xf numFmtId="10" fontId="19" fillId="0" borderId="130" xfId="15" applyNumberFormat="1" applyFont="1" applyBorder="1" applyAlignment="1">
      <alignment horizontal="center"/>
    </xf>
    <xf numFmtId="0" fontId="82" fillId="0" borderId="0" xfId="0" applyFont="1"/>
    <xf numFmtId="1" fontId="112" fillId="0" borderId="14" xfId="0" applyNumberFormat="1" applyFont="1" applyFill="1" applyBorder="1" applyAlignment="1" applyProtection="1">
      <alignment horizontal="left" vertical="center"/>
    </xf>
    <xf numFmtId="0" fontId="27" fillId="0" borderId="74" xfId="0" applyFont="1" applyFill="1" applyBorder="1" applyAlignment="1" applyProtection="1">
      <alignment horizontal="center" vertical="center"/>
    </xf>
    <xf numFmtId="0" fontId="14" fillId="0" borderId="9" xfId="0" applyFont="1" applyBorder="1" applyAlignment="1" applyProtection="1">
      <alignment vertical="center"/>
    </xf>
    <xf numFmtId="0" fontId="84" fillId="0" borderId="0" xfId="0" applyFont="1" applyBorder="1" applyAlignment="1" applyProtection="1">
      <alignment vertical="center"/>
    </xf>
    <xf numFmtId="0" fontId="0" fillId="0" borderId="0" xfId="0" applyProtection="1"/>
    <xf numFmtId="0" fontId="14" fillId="0" borderId="0" xfId="0" applyFont="1" applyBorder="1" applyAlignment="1" applyProtection="1">
      <alignment horizontal="center" vertical="center"/>
    </xf>
    <xf numFmtId="174" fontId="14" fillId="0" borderId="8" xfId="0" applyNumberFormat="1" applyFont="1" applyBorder="1" applyAlignment="1" applyProtection="1">
      <alignment horizontal="left" vertical="center"/>
    </xf>
    <xf numFmtId="174" fontId="89" fillId="0" borderId="8" xfId="0" applyNumberFormat="1" applyFont="1" applyBorder="1" applyAlignment="1" applyProtection="1">
      <alignment horizontal="right"/>
    </xf>
    <xf numFmtId="0" fontId="0" fillId="0" borderId="2" xfId="0" applyBorder="1" applyProtection="1"/>
    <xf numFmtId="49" fontId="14" fillId="0" borderId="0" xfId="0" applyNumberFormat="1" applyFont="1" applyBorder="1" applyAlignment="1" applyProtection="1">
      <alignment vertical="center"/>
    </xf>
    <xf numFmtId="0" fontId="15" fillId="0" borderId="2" xfId="0" applyFont="1" applyBorder="1" applyAlignment="1" applyProtection="1">
      <alignment horizontal="right" vertical="center"/>
    </xf>
    <xf numFmtId="0" fontId="36" fillId="0" borderId="42" xfId="0" applyFont="1" applyBorder="1" applyAlignment="1" applyProtection="1">
      <alignment vertical="center"/>
    </xf>
    <xf numFmtId="0" fontId="26" fillId="0" borderId="2" xfId="0" applyFont="1" applyBorder="1" applyAlignment="1" applyProtection="1">
      <alignment horizontal="right" vertical="center"/>
    </xf>
    <xf numFmtId="0" fontId="36" fillId="0" borderId="8" xfId="0" applyFont="1" applyBorder="1" applyAlignment="1" applyProtection="1">
      <alignment vertical="center"/>
    </xf>
    <xf numFmtId="0" fontId="33" fillId="0" borderId="0" xfId="0" applyFont="1" applyBorder="1" applyAlignment="1" applyProtection="1">
      <alignment horizontal="left" vertical="center"/>
    </xf>
    <xf numFmtId="0" fontId="33" fillId="0" borderId="8" xfId="0" applyFont="1" applyBorder="1" applyAlignment="1" applyProtection="1">
      <alignment horizontal="left" vertical="center"/>
    </xf>
    <xf numFmtId="0" fontId="56" fillId="0" borderId="8" xfId="0" applyFont="1" applyBorder="1" applyAlignment="1" applyProtection="1">
      <alignment horizontal="left" vertical="center"/>
    </xf>
    <xf numFmtId="0" fontId="69" fillId="0" borderId="24" xfId="0" applyFont="1" applyFill="1" applyBorder="1" applyAlignment="1" applyProtection="1">
      <alignment horizontal="center" vertical="center"/>
    </xf>
    <xf numFmtId="178" fontId="17" fillId="3" borderId="19" xfId="0" applyNumberFormat="1" applyFont="1" applyFill="1" applyBorder="1" applyAlignment="1" applyProtection="1">
      <alignment horizontal="left" vertical="center"/>
      <protection locked="0"/>
    </xf>
    <xf numFmtId="49" fontId="17" fillId="3" borderId="118"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vertical="center"/>
      <protection locked="0"/>
    </xf>
    <xf numFmtId="49" fontId="17" fillId="3" borderId="19" xfId="0" applyNumberFormat="1" applyFont="1" applyFill="1" applyBorder="1" applyAlignment="1" applyProtection="1">
      <alignment horizontal="left" vertical="center"/>
      <protection locked="0"/>
    </xf>
    <xf numFmtId="49" fontId="17" fillId="3" borderId="30" xfId="0" applyNumberFormat="1" applyFont="1" applyFill="1" applyBorder="1" applyAlignment="1" applyProtection="1">
      <alignment horizontal="left" vertical="center"/>
      <protection locked="0"/>
    </xf>
    <xf numFmtId="176" fontId="17" fillId="3" borderId="19" xfId="0" applyNumberFormat="1" applyFont="1" applyFill="1" applyBorder="1" applyAlignment="1" applyProtection="1">
      <alignment horizontal="left" vertical="center"/>
      <protection locked="0"/>
    </xf>
    <xf numFmtId="176" fontId="17" fillId="3" borderId="30" xfId="0"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vertical="center"/>
      <protection locked="0"/>
    </xf>
    <xf numFmtId="173" fontId="100" fillId="3" borderId="0" xfId="13" applyNumberFormat="1" applyFont="1" applyFill="1" applyBorder="1" applyAlignment="1" applyProtection="1">
      <alignment vertical="center"/>
      <protection locked="0"/>
    </xf>
    <xf numFmtId="0" fontId="94" fillId="3" borderId="0" xfId="13" applyFont="1" applyFill="1" applyBorder="1" applyAlignment="1" applyProtection="1">
      <alignment vertical="center"/>
      <protection locked="0"/>
    </xf>
    <xf numFmtId="0" fontId="101" fillId="3" borderId="0" xfId="13" applyFont="1" applyFill="1" applyBorder="1" applyAlignment="1" applyProtection="1">
      <alignment vertical="center"/>
      <protection locked="0"/>
    </xf>
    <xf numFmtId="173" fontId="94" fillId="3" borderId="0" xfId="13" applyNumberFormat="1"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40" fillId="3" borderId="8" xfId="0"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left" vertical="center"/>
      <protection locked="0"/>
    </xf>
    <xf numFmtId="173" fontId="100" fillId="3" borderId="0" xfId="13"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horizontal="left" vertical="center"/>
      <protection locked="0"/>
    </xf>
    <xf numFmtId="0" fontId="64" fillId="3" borderId="2" xfId="13" applyFont="1" applyFill="1" applyBorder="1" applyAlignment="1" applyProtection="1">
      <alignment vertical="center"/>
      <protection locked="0"/>
    </xf>
    <xf numFmtId="173" fontId="102" fillId="3" borderId="0" xfId="13" applyNumberFormat="1" applyFont="1" applyFill="1" applyBorder="1" applyAlignment="1" applyProtection="1">
      <alignment horizontal="right" vertical="center"/>
      <protection locked="0"/>
    </xf>
    <xf numFmtId="9" fontId="94" fillId="3" borderId="13" xfId="13" applyNumberFormat="1" applyFont="1" applyFill="1" applyBorder="1" applyAlignment="1" applyProtection="1">
      <alignment vertical="center"/>
      <protection locked="0"/>
    </xf>
    <xf numFmtId="0" fontId="94" fillId="3" borderId="13"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94" fillId="3" borderId="0" xfId="13" applyNumberFormat="1" applyFont="1" applyFill="1" applyBorder="1" applyAlignment="1" applyProtection="1">
      <alignment vertical="center"/>
      <protection locked="0"/>
    </xf>
    <xf numFmtId="39" fontId="94" fillId="3" borderId="13" xfId="13" applyNumberFormat="1" applyFont="1" applyFill="1" applyBorder="1" applyAlignment="1" applyProtection="1">
      <alignment vertical="center"/>
      <protection locked="0"/>
    </xf>
    <xf numFmtId="173" fontId="100" fillId="3" borderId="7" xfId="13" applyNumberFormat="1" applyFont="1" applyFill="1" applyBorder="1" applyAlignment="1" applyProtection="1">
      <alignment vertical="center"/>
      <protection locked="0"/>
    </xf>
    <xf numFmtId="173"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3" fontId="5" fillId="3" borderId="6" xfId="13" applyNumberFormat="1" applyFont="1" applyFill="1" applyBorder="1" applyAlignment="1" applyProtection="1">
      <alignment vertical="center"/>
      <protection locked="0"/>
    </xf>
    <xf numFmtId="0" fontId="27" fillId="3" borderId="6" xfId="0" applyFont="1" applyFill="1" applyBorder="1" applyAlignment="1" applyProtection="1">
      <alignment horizontal="right" vertical="center"/>
      <protection locked="0"/>
    </xf>
    <xf numFmtId="0" fontId="15"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0" fontId="40" fillId="3" borderId="14" xfId="0"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73" fontId="94" fillId="3" borderId="8"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0" fontId="94" fillId="3" borderId="8" xfId="13"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14" fillId="3" borderId="13" xfId="0" applyFont="1" applyFill="1" applyBorder="1" applyAlignment="1" applyProtection="1">
      <alignment vertical="center"/>
      <protection locked="0"/>
    </xf>
    <xf numFmtId="0" fontId="40" fillId="3" borderId="0" xfId="0" applyFont="1" applyFill="1" applyBorder="1" applyAlignment="1" applyProtection="1">
      <alignment vertical="center"/>
      <protection locked="0"/>
    </xf>
    <xf numFmtId="0" fontId="40" fillId="3" borderId="13" xfId="0" applyFont="1" applyFill="1" applyBorder="1" applyAlignment="1" applyProtection="1">
      <alignment horizontal="right" vertical="center"/>
      <protection locked="0"/>
    </xf>
    <xf numFmtId="39" fontId="94" fillId="3" borderId="8" xfId="13"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horizontal="left" vertical="center"/>
      <protection locked="0"/>
    </xf>
    <xf numFmtId="173" fontId="102" fillId="3" borderId="0" xfId="13" applyNumberFormat="1" applyFont="1" applyFill="1" applyBorder="1" applyAlignment="1" applyProtection="1">
      <alignment horizontal="left" vertical="center"/>
      <protection locked="0"/>
    </xf>
    <xf numFmtId="9" fontId="9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101" fillId="3" borderId="7" xfId="13" applyFont="1" applyFill="1" applyBorder="1" applyAlignment="1" applyProtection="1">
      <alignment horizontal="right" vertical="center"/>
      <protection locked="0"/>
    </xf>
    <xf numFmtId="0" fontId="7" fillId="4" borderId="131" xfId="0" applyFont="1" applyFill="1" applyBorder="1" applyAlignment="1" applyProtection="1">
      <alignment horizontal="center" vertical="top" wrapText="1"/>
    </xf>
    <xf numFmtId="0" fontId="25" fillId="3" borderId="19" xfId="0" applyFont="1" applyFill="1" applyBorder="1" applyAlignment="1" applyProtection="1">
      <alignment horizontal="center" vertical="center"/>
      <protection locked="0"/>
    </xf>
    <xf numFmtId="0" fontId="25" fillId="3" borderId="74" xfId="0" applyFont="1" applyFill="1" applyBorder="1" applyAlignment="1" applyProtection="1">
      <alignment horizontal="center" vertical="center"/>
      <protection locked="0"/>
    </xf>
    <xf numFmtId="0" fontId="7" fillId="0" borderId="36" xfId="0" applyFont="1" applyBorder="1" applyAlignment="1" applyProtection="1">
      <alignment horizontal="center" wrapText="1"/>
    </xf>
    <xf numFmtId="0" fontId="7" fillId="0" borderId="119" xfId="0" applyFont="1" applyBorder="1" applyAlignment="1" applyProtection="1">
      <alignment horizontal="center" wrapText="1"/>
    </xf>
    <xf numFmtId="0" fontId="7" fillId="0" borderId="102" xfId="0" applyFont="1" applyBorder="1" applyAlignment="1">
      <alignment horizontal="right" vertical="center"/>
    </xf>
    <xf numFmtId="0" fontId="22" fillId="0" borderId="44" xfId="0" applyFont="1" applyBorder="1" applyAlignment="1">
      <alignment horizontal="right" vertical="center"/>
    </xf>
    <xf numFmtId="0" fontId="7" fillId="0" borderId="70" xfId="0" applyFont="1" applyBorder="1" applyAlignment="1">
      <alignment horizontal="right" vertical="center"/>
    </xf>
    <xf numFmtId="0" fontId="101" fillId="3" borderId="34" xfId="13" applyFont="1" applyFill="1" applyBorder="1" applyAlignment="1" applyProtection="1">
      <alignment horizontal="right" vertical="center"/>
      <protection locked="0"/>
    </xf>
    <xf numFmtId="0" fontId="100" fillId="3" borderId="13" xfId="13" applyFont="1" applyFill="1" applyBorder="1" applyAlignment="1" applyProtection="1">
      <alignment horizontal="right" vertical="center"/>
      <protection locked="0"/>
    </xf>
    <xf numFmtId="0" fontId="48" fillId="3" borderId="13" xfId="0" applyFont="1" applyFill="1" applyBorder="1" applyAlignment="1" applyProtection="1">
      <alignment vertical="center"/>
      <protection locked="0"/>
    </xf>
    <xf numFmtId="0" fontId="48" fillId="3" borderId="13" xfId="0" applyFont="1" applyFill="1" applyBorder="1" applyAlignment="1" applyProtection="1">
      <alignment horizontal="right" vertical="center"/>
      <protection locked="0"/>
    </xf>
    <xf numFmtId="0" fontId="94" fillId="3" borderId="89" xfId="13" applyFont="1" applyFill="1" applyBorder="1" applyAlignment="1" applyProtection="1">
      <alignment vertical="center"/>
      <protection locked="0"/>
    </xf>
    <xf numFmtId="0" fontId="6" fillId="3" borderId="2" xfId="13" applyFont="1" applyFill="1" applyBorder="1" applyAlignment="1" applyProtection="1">
      <alignment horizontal="left" vertical="center"/>
      <protection locked="0"/>
    </xf>
    <xf numFmtId="0" fontId="66" fillId="10" borderId="72" xfId="0" applyFont="1" applyFill="1" applyBorder="1" applyAlignment="1" applyProtection="1">
      <alignment vertical="center"/>
    </xf>
    <xf numFmtId="0" fontId="14" fillId="10" borderId="60" xfId="0" applyFont="1" applyFill="1" applyBorder="1" applyAlignment="1" applyProtection="1">
      <alignment vertical="center"/>
    </xf>
    <xf numFmtId="0" fontId="14" fillId="10" borderId="120" xfId="0" applyFont="1" applyFill="1" applyBorder="1" applyAlignment="1" applyProtection="1">
      <alignment vertical="center"/>
    </xf>
    <xf numFmtId="170" fontId="19" fillId="3" borderId="24" xfId="1" applyNumberFormat="1" applyFont="1" applyFill="1" applyBorder="1" applyAlignment="1" applyProtection="1">
      <alignment vertical="center"/>
      <protection locked="0"/>
    </xf>
    <xf numFmtId="0" fontId="37" fillId="2" borderId="2" xfId="0" applyFont="1" applyFill="1" applyBorder="1" applyAlignment="1" applyProtection="1">
      <alignment horizontal="center" vertical="center"/>
    </xf>
    <xf numFmtId="0" fontId="98" fillId="0" borderId="0" xfId="0" applyFont="1" applyBorder="1" applyAlignment="1" applyProtection="1">
      <alignment horizontal="center" vertical="center"/>
    </xf>
    <xf numFmtId="170" fontId="7" fillId="11" borderId="6" xfId="0" applyNumberFormat="1" applyFont="1" applyFill="1" applyBorder="1" applyAlignment="1" applyProtection="1">
      <alignment horizontal="right" vertical="center"/>
      <protection locked="0"/>
    </xf>
    <xf numFmtId="170" fontId="4" fillId="11" borderId="8" xfId="0" applyNumberFormat="1" applyFont="1" applyFill="1" applyBorder="1" applyAlignment="1" applyProtection="1">
      <alignment horizontal="right" vertical="center"/>
    </xf>
    <xf numFmtId="44" fontId="4" fillId="0" borderId="132" xfId="0" applyNumberFormat="1" applyFont="1" applyBorder="1" applyAlignment="1" applyProtection="1">
      <alignment vertical="center"/>
    </xf>
    <xf numFmtId="44" fontId="4" fillId="0" borderId="133" xfId="0" applyNumberFormat="1" applyFont="1" applyBorder="1" applyAlignment="1" applyProtection="1">
      <alignment vertical="center"/>
    </xf>
    <xf numFmtId="44" fontId="4" fillId="0" borderId="134" xfId="0" applyNumberFormat="1" applyFont="1" applyBorder="1" applyAlignment="1" applyProtection="1">
      <alignment vertical="center"/>
    </xf>
    <xf numFmtId="44" fontId="4" fillId="0" borderId="135" xfId="0" applyNumberFormat="1" applyFont="1" applyBorder="1" applyAlignment="1" applyProtection="1">
      <alignment vertical="center"/>
    </xf>
    <xf numFmtId="44" fontId="4" fillId="0" borderId="55" xfId="0" applyNumberFormat="1" applyFont="1" applyFill="1" applyBorder="1" applyAlignment="1" applyProtection="1">
      <alignment horizontal="right" vertical="center"/>
    </xf>
    <xf numFmtId="44" fontId="4" fillId="0" borderId="15" xfId="0" applyNumberFormat="1" applyFont="1" applyFill="1" applyBorder="1" applyAlignment="1" applyProtection="1">
      <alignment horizontal="right" vertical="center"/>
    </xf>
    <xf numFmtId="44" fontId="4" fillId="0" borderId="132" xfId="0" applyNumberFormat="1" applyFont="1" applyFill="1" applyBorder="1" applyAlignment="1" applyProtection="1">
      <alignment horizontal="right" vertical="center"/>
    </xf>
    <xf numFmtId="44" fontId="4" fillId="0" borderId="136" xfId="0" applyNumberFormat="1" applyFont="1" applyFill="1" applyBorder="1" applyAlignment="1" applyProtection="1">
      <alignment horizontal="right" vertical="center"/>
    </xf>
    <xf numFmtId="44" fontId="4" fillId="0" borderId="137" xfId="0" applyNumberFormat="1" applyFont="1" applyFill="1" applyBorder="1" applyAlignment="1" applyProtection="1">
      <alignment horizontal="right" vertical="center"/>
    </xf>
    <xf numFmtId="44" fontId="16" fillId="0" borderId="55" xfId="0" applyNumberFormat="1" applyFont="1" applyFill="1" applyBorder="1" applyAlignment="1" applyProtection="1">
      <alignment horizontal="right" vertical="center"/>
    </xf>
    <xf numFmtId="44" fontId="4" fillId="0" borderId="118" xfId="0" applyNumberFormat="1" applyFont="1" applyFill="1" applyBorder="1" applyAlignment="1" applyProtection="1">
      <alignment horizontal="right" vertical="center"/>
    </xf>
    <xf numFmtId="44" fontId="4" fillId="0" borderId="118" xfId="0" applyNumberFormat="1" applyFont="1" applyBorder="1" applyAlignment="1" applyProtection="1">
      <alignment vertical="center"/>
    </xf>
    <xf numFmtId="44" fontId="4" fillId="0" borderId="42" xfId="0" applyNumberFormat="1" applyFont="1" applyBorder="1" applyAlignment="1" applyProtection="1">
      <alignment vertical="center"/>
    </xf>
    <xf numFmtId="44" fontId="4" fillId="0" borderId="138" xfId="0" applyNumberFormat="1" applyFont="1" applyBorder="1" applyAlignment="1" applyProtection="1">
      <alignment vertical="center"/>
    </xf>
    <xf numFmtId="44" fontId="4" fillId="0" borderId="55" xfId="0" applyNumberFormat="1" applyFont="1" applyBorder="1" applyAlignment="1" applyProtection="1">
      <alignment vertical="center"/>
    </xf>
    <xf numFmtId="44" fontId="16" fillId="0" borderId="8" xfId="0" applyNumberFormat="1" applyFont="1" applyBorder="1" applyAlignment="1" applyProtection="1">
      <alignment vertical="center"/>
    </xf>
    <xf numFmtId="44" fontId="16" fillId="0" borderId="139" xfId="0" applyNumberFormat="1" applyFont="1" applyBorder="1" applyAlignment="1" applyProtection="1">
      <alignment vertical="center"/>
    </xf>
    <xf numFmtId="44" fontId="17" fillId="0" borderId="14" xfId="0" applyNumberFormat="1" applyFont="1" applyBorder="1" applyAlignment="1" applyProtection="1">
      <alignment vertical="center"/>
    </xf>
    <xf numFmtId="44" fontId="47" fillId="0" borderId="14" xfId="0" applyNumberFormat="1" applyFont="1" applyBorder="1" applyAlignment="1" applyProtection="1">
      <alignment vertical="center"/>
    </xf>
    <xf numFmtId="44" fontId="17" fillId="0" borderId="139" xfId="0" applyNumberFormat="1" applyFont="1" applyBorder="1" applyAlignment="1" applyProtection="1">
      <alignment vertical="center"/>
    </xf>
    <xf numFmtId="44" fontId="16" fillId="0" borderId="68" xfId="0" applyNumberFormat="1" applyFont="1" applyBorder="1" applyAlignment="1" applyProtection="1">
      <alignment vertical="center"/>
    </xf>
    <xf numFmtId="44" fontId="47" fillId="0" borderId="139" xfId="0" applyNumberFormat="1" applyFont="1" applyBorder="1" applyAlignment="1" applyProtection="1">
      <alignment vertical="center"/>
    </xf>
    <xf numFmtId="44" fontId="17" fillId="0" borderId="59" xfId="0" applyNumberFormat="1" applyFont="1" applyBorder="1" applyAlignment="1" applyProtection="1">
      <alignment vertical="center"/>
    </xf>
    <xf numFmtId="44" fontId="17" fillId="0" borderId="8" xfId="0" applyNumberFormat="1" applyFont="1" applyBorder="1" applyAlignment="1" applyProtection="1">
      <alignment vertical="center"/>
    </xf>
    <xf numFmtId="44" fontId="46" fillId="0" borderId="120" xfId="0" applyNumberFormat="1" applyFont="1" applyFill="1" applyBorder="1" applyAlignment="1" applyProtection="1">
      <alignment vertical="center"/>
    </xf>
    <xf numFmtId="44" fontId="5" fillId="0" borderId="8" xfId="0" applyNumberFormat="1" applyFont="1" applyFill="1" applyBorder="1" applyAlignment="1" applyProtection="1">
      <alignment vertical="center"/>
    </xf>
    <xf numFmtId="44" fontId="6" fillId="0" borderId="140" xfId="0" applyNumberFormat="1" applyFont="1" applyFill="1" applyBorder="1" applyAlignment="1" applyProtection="1">
      <alignment vertical="center"/>
    </xf>
    <xf numFmtId="44" fontId="4" fillId="0" borderId="8" xfId="0" applyNumberFormat="1" applyFont="1" applyBorder="1" applyAlignment="1" applyProtection="1">
      <alignment vertical="center"/>
    </xf>
    <xf numFmtId="44" fontId="7" fillId="0" borderId="140" xfId="0" applyNumberFormat="1" applyFont="1" applyBorder="1" applyAlignment="1" applyProtection="1">
      <alignment vertical="center"/>
    </xf>
    <xf numFmtId="44" fontId="46" fillId="0" borderId="8" xfId="0" applyNumberFormat="1" applyFont="1" applyFill="1" applyBorder="1" applyAlignment="1" applyProtection="1">
      <alignment vertical="center"/>
    </xf>
    <xf numFmtId="44" fontId="22" fillId="0" borderId="89" xfId="0" applyNumberFormat="1" applyFont="1" applyFill="1" applyBorder="1" applyAlignment="1" applyProtection="1">
      <alignment vertical="center"/>
    </xf>
    <xf numFmtId="44" fontId="25" fillId="0" borderId="8" xfId="0" applyNumberFormat="1" applyFont="1" applyFill="1" applyBorder="1" applyAlignment="1" applyProtection="1">
      <alignment vertical="center"/>
    </xf>
    <xf numFmtId="44" fontId="5" fillId="0" borderId="11" xfId="0" applyNumberFormat="1" applyFont="1" applyFill="1" applyBorder="1" applyAlignment="1" applyProtection="1">
      <alignment vertical="center"/>
    </xf>
    <xf numFmtId="44" fontId="25" fillId="0" borderId="59" xfId="0" applyNumberFormat="1" applyFont="1" applyFill="1" applyBorder="1" applyAlignment="1" applyProtection="1">
      <alignment vertical="center"/>
    </xf>
    <xf numFmtId="44" fontId="4" fillId="0" borderId="68" xfId="0" applyNumberFormat="1" applyFont="1" applyFill="1" applyBorder="1" applyAlignment="1" applyProtection="1">
      <alignment horizontal="right" vertical="center"/>
    </xf>
    <xf numFmtId="44" fontId="4" fillId="0" borderId="8" xfId="0" applyNumberFormat="1" applyFont="1" applyFill="1" applyBorder="1" applyAlignment="1" applyProtection="1">
      <alignment horizontal="right" vertical="center"/>
    </xf>
    <xf numFmtId="44" fontId="5" fillId="0" borderId="8" xfId="0" applyNumberFormat="1" applyFont="1" applyFill="1" applyBorder="1" applyAlignment="1" applyProtection="1">
      <alignment horizontal="right" vertical="center"/>
    </xf>
    <xf numFmtId="44" fontId="14" fillId="0" borderId="8" xfId="0" applyNumberFormat="1" applyFont="1" applyBorder="1" applyAlignment="1" applyProtection="1">
      <alignment horizontal="right" vertical="center"/>
    </xf>
    <xf numFmtId="44" fontId="5" fillId="0" borderId="89" xfId="0" applyNumberFormat="1" applyFont="1" applyFill="1" applyBorder="1" applyAlignment="1" applyProtection="1">
      <alignment horizontal="right" vertical="center"/>
    </xf>
    <xf numFmtId="44" fontId="46" fillId="0" borderId="40" xfId="0" applyNumberFormat="1" applyFont="1" applyFill="1" applyBorder="1" applyAlignment="1" applyProtection="1">
      <alignment horizontal="right" vertical="center"/>
    </xf>
    <xf numFmtId="44" fontId="6" fillId="0" borderId="8" xfId="0" applyNumberFormat="1" applyFont="1" applyFill="1" applyBorder="1" applyAlignment="1" applyProtection="1">
      <alignment vertical="center"/>
    </xf>
    <xf numFmtId="44" fontId="4" fillId="0" borderId="68" xfId="0" applyNumberFormat="1" applyFont="1" applyBorder="1" applyAlignment="1" applyProtection="1">
      <alignment vertical="center"/>
    </xf>
    <xf numFmtId="44" fontId="17" fillId="0" borderId="8" xfId="0" applyNumberFormat="1" applyFont="1" applyFill="1" applyBorder="1" applyAlignment="1" applyProtection="1">
      <alignment vertical="center"/>
    </xf>
    <xf numFmtId="44" fontId="4" fillId="0" borderId="8" xfId="0" applyNumberFormat="1" applyFont="1" applyFill="1" applyBorder="1" applyAlignment="1" applyProtection="1">
      <alignment vertical="center"/>
    </xf>
    <xf numFmtId="44" fontId="5" fillId="0" borderId="139" xfId="0" applyNumberFormat="1" applyFont="1" applyFill="1" applyBorder="1" applyAlignment="1" applyProtection="1">
      <alignment vertical="center"/>
    </xf>
    <xf numFmtId="44" fontId="47" fillId="0" borderId="8" xfId="0" applyNumberFormat="1" applyFont="1" applyFill="1" applyBorder="1" applyAlignment="1" applyProtection="1">
      <alignment vertical="center"/>
    </xf>
    <xf numFmtId="44" fontId="17" fillId="0" borderId="14" xfId="0" applyNumberFormat="1" applyFont="1" applyFill="1" applyBorder="1" applyAlignment="1" applyProtection="1">
      <alignment vertical="center"/>
    </xf>
    <xf numFmtId="44" fontId="6" fillId="0" borderId="40" xfId="0" applyNumberFormat="1" applyFont="1" applyFill="1" applyBorder="1" applyAlignment="1" applyProtection="1">
      <alignment vertical="center"/>
    </xf>
    <xf numFmtId="44" fontId="7" fillId="0" borderId="8" xfId="0" applyNumberFormat="1" applyFont="1" applyFill="1" applyBorder="1" applyAlignment="1" applyProtection="1">
      <alignment vertical="center"/>
    </xf>
    <xf numFmtId="44" fontId="5" fillId="0" borderId="68" xfId="0" applyNumberFormat="1" applyFont="1" applyFill="1" applyBorder="1" applyAlignment="1" applyProtection="1">
      <alignment vertical="center"/>
    </xf>
    <xf numFmtId="44" fontId="41" fillId="0" borderId="8" xfId="0" applyNumberFormat="1" applyFont="1" applyFill="1" applyBorder="1" applyAlignment="1" applyProtection="1">
      <alignment vertical="center"/>
    </xf>
    <xf numFmtId="44" fontId="46" fillId="0" borderId="59" xfId="0" applyNumberFormat="1" applyFont="1" applyFill="1" applyBorder="1" applyAlignment="1" applyProtection="1">
      <alignment vertical="center"/>
    </xf>
    <xf numFmtId="44" fontId="7" fillId="0" borderId="140" xfId="0" applyNumberFormat="1" applyFont="1" applyFill="1" applyBorder="1" applyAlignment="1" applyProtection="1">
      <alignment vertical="center"/>
    </xf>
    <xf numFmtId="43" fontId="5" fillId="0" borderId="19" xfId="0" applyNumberFormat="1" applyFont="1" applyFill="1" applyBorder="1" applyAlignment="1" applyProtection="1">
      <alignment vertical="center"/>
    </xf>
    <xf numFmtId="43" fontId="5" fillId="0" borderId="42" xfId="0" applyNumberFormat="1" applyFont="1" applyFill="1" applyBorder="1" applyAlignment="1" applyProtection="1">
      <alignment vertical="center"/>
    </xf>
    <xf numFmtId="43" fontId="19" fillId="3" borderId="141" xfId="0" applyNumberFormat="1" applyFont="1" applyFill="1" applyBorder="1" applyAlignment="1" applyProtection="1">
      <alignment vertical="center"/>
      <protection locked="0"/>
    </xf>
    <xf numFmtId="43" fontId="5" fillId="3" borderId="14" xfId="0" applyNumberFormat="1" applyFont="1" applyFill="1" applyBorder="1" applyAlignment="1" applyProtection="1">
      <alignment vertical="center"/>
      <protection locked="0"/>
    </xf>
    <xf numFmtId="43" fontId="4" fillId="0" borderId="12" xfId="0" quotePrefix="1" applyNumberFormat="1" applyFont="1" applyFill="1" applyBorder="1" applyAlignment="1" applyProtection="1">
      <alignment vertical="center"/>
    </xf>
    <xf numFmtId="43" fontId="4" fillId="0" borderId="12" xfId="0" applyNumberFormat="1" applyFont="1" applyFill="1" applyBorder="1" applyAlignment="1" applyProtection="1">
      <alignment horizontal="center" vertical="center"/>
    </xf>
    <xf numFmtId="43" fontId="4" fillId="0" borderId="12" xfId="0" applyNumberFormat="1" applyFont="1" applyFill="1" applyBorder="1" applyAlignment="1" applyProtection="1">
      <alignment vertical="center"/>
    </xf>
    <xf numFmtId="43" fontId="4" fillId="0" borderId="32"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32" xfId="0" applyNumberFormat="1" applyFont="1" applyFill="1" applyBorder="1" applyAlignment="1" applyProtection="1">
      <alignment vertical="center"/>
    </xf>
    <xf numFmtId="43" fontId="5" fillId="0" borderId="32" xfId="1" applyNumberFormat="1" applyFont="1" applyFill="1" applyBorder="1" applyAlignment="1" applyProtection="1">
      <alignment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vertical="center"/>
    </xf>
    <xf numFmtId="43" fontId="4" fillId="0" borderId="13" xfId="0" applyNumberFormat="1" applyFont="1" applyFill="1" applyBorder="1" applyAlignment="1" applyProtection="1">
      <alignment vertical="center"/>
    </xf>
    <xf numFmtId="43" fontId="5" fillId="0" borderId="4" xfId="0" applyNumberFormat="1" applyFont="1" applyFill="1" applyBorder="1" applyAlignment="1" applyProtection="1">
      <alignment vertical="center"/>
    </xf>
    <xf numFmtId="43" fontId="4" fillId="0" borderId="0" xfId="15" applyNumberFormat="1" applyFont="1" applyFill="1" applyBorder="1" applyAlignment="1" applyProtection="1">
      <alignment vertical="center"/>
    </xf>
    <xf numFmtId="43" fontId="4" fillId="0" borderId="32" xfId="0" applyNumberFormat="1" applyFont="1" applyBorder="1" applyAlignment="1" applyProtection="1">
      <alignment vertical="center"/>
    </xf>
    <xf numFmtId="43" fontId="4" fillId="0" borderId="0" xfId="0" applyNumberFormat="1" applyFont="1" applyBorder="1" applyAlignment="1" applyProtection="1">
      <alignment vertical="center"/>
    </xf>
    <xf numFmtId="43" fontId="6" fillId="0" borderId="4" xfId="0" applyNumberFormat="1" applyFont="1" applyFill="1" applyBorder="1" applyAlignment="1" applyProtection="1">
      <alignment horizontal="right" vertical="center"/>
    </xf>
    <xf numFmtId="43" fontId="6" fillId="0" borderId="12" xfId="0" applyNumberFormat="1" applyFont="1" applyFill="1" applyBorder="1" applyAlignment="1" applyProtection="1">
      <alignment horizontal="right" vertical="center"/>
    </xf>
    <xf numFmtId="43" fontId="5" fillId="0" borderId="0" xfId="0" applyNumberFormat="1" applyFont="1" applyFill="1" applyBorder="1" applyAlignment="1" applyProtection="1">
      <alignment horizontal="right" vertical="center"/>
    </xf>
    <xf numFmtId="43" fontId="46" fillId="0" borderId="6" xfId="0" applyNumberFormat="1" applyFont="1" applyFill="1" applyBorder="1" applyAlignment="1" applyProtection="1">
      <alignment horizontal="right" vertical="center"/>
    </xf>
    <xf numFmtId="43" fontId="5" fillId="0" borderId="12" xfId="0" applyNumberFormat="1" applyFont="1" applyFill="1" applyBorder="1" applyAlignment="1" applyProtection="1">
      <alignment vertical="center"/>
    </xf>
    <xf numFmtId="4" fontId="5" fillId="0" borderId="0" xfId="0" applyNumberFormat="1" applyFont="1" applyFill="1" applyBorder="1" applyAlignment="1" applyProtection="1">
      <alignment vertical="center"/>
    </xf>
    <xf numFmtId="44" fontId="4" fillId="0" borderId="18" xfId="0" applyNumberFormat="1" applyFont="1" applyFill="1" applyBorder="1" applyAlignment="1" applyProtection="1">
      <alignment horizontal="right" vertical="center"/>
    </xf>
    <xf numFmtId="44" fontId="4" fillId="0" borderId="45" xfId="0" applyNumberFormat="1" applyFont="1" applyFill="1" applyBorder="1" applyAlignment="1" applyProtection="1">
      <alignment horizontal="right" vertical="center"/>
    </xf>
    <xf numFmtId="44" fontId="4" fillId="0" borderId="142" xfId="0" applyNumberFormat="1" applyFont="1" applyFill="1" applyBorder="1" applyAlignment="1" applyProtection="1">
      <alignment horizontal="right" vertical="center"/>
    </xf>
    <xf numFmtId="44" fontId="17" fillId="12" borderId="143" xfId="0" applyNumberFormat="1" applyFont="1" applyFill="1" applyBorder="1" applyAlignment="1" applyProtection="1">
      <alignment horizontal="right" vertical="center"/>
    </xf>
    <xf numFmtId="44" fontId="7" fillId="12" borderId="68" xfId="0" applyNumberFormat="1" applyFont="1" applyFill="1" applyBorder="1" applyAlignment="1" applyProtection="1">
      <alignment horizontal="right" vertical="center"/>
    </xf>
    <xf numFmtId="44" fontId="4" fillId="0" borderId="8" xfId="0" applyNumberFormat="1" applyFont="1" applyBorder="1" applyAlignment="1" applyProtection="1">
      <alignment horizontal="right" vertical="center"/>
    </xf>
    <xf numFmtId="44" fontId="4" fillId="0" borderId="138" xfId="0" applyNumberFormat="1" applyFont="1" applyBorder="1" applyAlignment="1" applyProtection="1">
      <alignment horizontal="right" vertical="center"/>
    </xf>
    <xf numFmtId="44" fontId="17" fillId="12" borderId="144" xfId="0" applyNumberFormat="1" applyFont="1" applyFill="1" applyBorder="1" applyAlignment="1" applyProtection="1">
      <alignment horizontal="right" vertical="center"/>
    </xf>
    <xf numFmtId="44" fontId="7" fillId="12" borderId="75" xfId="0" applyNumberFormat="1" applyFont="1" applyFill="1" applyBorder="1" applyAlignment="1" applyProtection="1">
      <alignment horizontal="right" vertical="center"/>
    </xf>
    <xf numFmtId="44" fontId="16" fillId="3" borderId="133" xfId="0" applyNumberFormat="1" applyFont="1" applyFill="1" applyBorder="1" applyAlignment="1" applyProtection="1">
      <alignment horizontal="right" vertical="center"/>
    </xf>
    <xf numFmtId="44" fontId="16" fillId="3" borderId="132" xfId="0" applyNumberFormat="1" applyFont="1" applyFill="1" applyBorder="1" applyAlignment="1" applyProtection="1">
      <alignment horizontal="right" vertical="center"/>
    </xf>
    <xf numFmtId="44" fontId="16" fillId="3" borderId="134" xfId="0" applyNumberFormat="1" applyFont="1" applyFill="1" applyBorder="1" applyAlignment="1" applyProtection="1">
      <alignment horizontal="right" vertical="center"/>
    </xf>
    <xf numFmtId="44" fontId="17" fillId="0" borderId="118" xfId="0" applyNumberFormat="1" applyFont="1" applyBorder="1" applyAlignment="1" applyProtection="1">
      <alignment vertical="center"/>
    </xf>
    <xf numFmtId="44" fontId="17" fillId="0" borderId="145" xfId="0" applyNumberFormat="1" applyFont="1" applyBorder="1" applyAlignment="1" applyProtection="1">
      <alignment vertical="center"/>
    </xf>
    <xf numFmtId="44" fontId="4" fillId="0" borderId="11" xfId="0" applyNumberFormat="1" applyFont="1" applyFill="1" applyBorder="1" applyAlignment="1" applyProtection="1">
      <alignment vertical="center"/>
    </xf>
    <xf numFmtId="44" fontId="4" fillId="0" borderId="14" xfId="0" applyNumberFormat="1" applyFont="1" applyFill="1" applyBorder="1" applyAlignment="1" applyProtection="1">
      <alignment vertical="center"/>
    </xf>
    <xf numFmtId="44" fontId="14" fillId="0" borderId="8" xfId="0" applyNumberFormat="1" applyFont="1" applyBorder="1" applyAlignment="1" applyProtection="1">
      <alignment vertical="center"/>
    </xf>
    <xf numFmtId="44" fontId="47" fillId="0" borderId="40" xfId="0" applyNumberFormat="1" applyFont="1" applyFill="1" applyBorder="1" applyAlignment="1" applyProtection="1">
      <alignment vertical="center"/>
    </xf>
    <xf numFmtId="44" fontId="5" fillId="0" borderId="14" xfId="0" applyNumberFormat="1" applyFont="1" applyFill="1" applyBorder="1" applyAlignment="1" applyProtection="1">
      <alignment vertical="center"/>
    </xf>
    <xf numFmtId="44" fontId="43" fillId="0" borderId="120" xfId="0" applyNumberFormat="1" applyFont="1" applyBorder="1" applyAlignment="1" applyProtection="1">
      <alignment vertical="center"/>
    </xf>
    <xf numFmtId="44" fontId="19" fillId="3" borderId="49" xfId="0" applyNumberFormat="1" applyFont="1" applyFill="1" applyBorder="1" applyAlignment="1" applyProtection="1">
      <alignment vertical="center"/>
      <protection locked="0"/>
    </xf>
    <xf numFmtId="44" fontId="4" fillId="0" borderId="49" xfId="0" applyNumberFormat="1" applyFont="1" applyBorder="1" applyAlignment="1" applyProtection="1">
      <alignment vertical="center"/>
    </xf>
    <xf numFmtId="44" fontId="4" fillId="0" borderId="146" xfId="0" applyNumberFormat="1" applyFont="1" applyBorder="1" applyAlignment="1" applyProtection="1">
      <alignment vertical="center"/>
    </xf>
    <xf numFmtId="44" fontId="7" fillId="0" borderId="36" xfId="0" applyNumberFormat="1" applyFont="1" applyBorder="1" applyAlignment="1" applyProtection="1">
      <alignment vertical="center"/>
    </xf>
    <xf numFmtId="44" fontId="7" fillId="0" borderId="119" xfId="0" applyNumberFormat="1" applyFont="1" applyBorder="1" applyAlignment="1" applyProtection="1">
      <alignment vertical="center"/>
    </xf>
    <xf numFmtId="44" fontId="19" fillId="0" borderId="147" xfId="0" applyNumberFormat="1" applyFont="1" applyFill="1" applyBorder="1" applyAlignment="1" applyProtection="1">
      <alignment vertical="center"/>
    </xf>
    <xf numFmtId="44" fontId="4" fillId="0" borderId="147" xfId="0" applyNumberFormat="1" applyFont="1" applyFill="1" applyBorder="1" applyAlignment="1" applyProtection="1">
      <alignment vertical="center"/>
    </xf>
    <xf numFmtId="44" fontId="4" fillId="0" borderId="148" xfId="0" applyNumberFormat="1" applyFont="1" applyFill="1" applyBorder="1" applyAlignment="1" applyProtection="1">
      <alignment vertical="center"/>
    </xf>
    <xf numFmtId="44" fontId="19" fillId="3" borderId="149" xfId="0" applyNumberFormat="1" applyFont="1" applyFill="1" applyBorder="1" applyAlignment="1" applyProtection="1">
      <alignment vertical="center"/>
      <protection locked="0"/>
    </xf>
    <xf numFmtId="44" fontId="4" fillId="0" borderId="150" xfId="0" applyNumberFormat="1" applyFont="1" applyBorder="1" applyAlignment="1" applyProtection="1">
      <alignment vertical="center"/>
    </xf>
    <xf numFmtId="44" fontId="7" fillId="0" borderId="69" xfId="0" applyNumberFormat="1" applyFont="1" applyBorder="1" applyAlignment="1" applyProtection="1">
      <alignment vertical="center"/>
    </xf>
    <xf numFmtId="0" fontId="17" fillId="0" borderId="28" xfId="0" applyFont="1" applyBorder="1" applyAlignment="1">
      <alignment horizontal="center" vertical="center"/>
    </xf>
    <xf numFmtId="0" fontId="17" fillId="0" borderId="85" xfId="0"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7" fillId="0" borderId="118" xfId="0" applyFont="1" applyBorder="1" applyAlignment="1">
      <alignment horizontal="center" vertical="center" wrapText="1"/>
    </xf>
    <xf numFmtId="44" fontId="4" fillId="0" borderId="76" xfId="1" applyNumberFormat="1" applyFont="1" applyBorder="1" applyAlignment="1">
      <alignment vertical="center"/>
    </xf>
    <xf numFmtId="44" fontId="4" fillId="0" borderId="151" xfId="1" applyNumberFormat="1" applyFont="1" applyBorder="1" applyAlignment="1">
      <alignment vertical="center"/>
    </xf>
    <xf numFmtId="44" fontId="4" fillId="0" borderId="152" xfId="1" applyNumberFormat="1" applyFont="1" applyBorder="1" applyAlignment="1">
      <alignment vertical="center"/>
    </xf>
    <xf numFmtId="44" fontId="7" fillId="0" borderId="118" xfId="1" applyNumberFormat="1" applyFont="1" applyBorder="1" applyAlignment="1">
      <alignment vertical="center"/>
    </xf>
    <xf numFmtId="44" fontId="4" fillId="7" borderId="42" xfId="1" applyNumberFormat="1" applyFont="1" applyFill="1" applyBorder="1" applyAlignment="1">
      <alignment vertical="center"/>
    </xf>
    <xf numFmtId="44" fontId="4" fillId="0" borderId="60" xfId="0" applyNumberFormat="1" applyFont="1" applyBorder="1" applyAlignment="1">
      <alignment vertical="center"/>
    </xf>
    <xf numFmtId="44" fontId="4" fillId="0" borderId="18" xfId="0" applyNumberFormat="1" applyFont="1" applyBorder="1" applyAlignment="1">
      <alignment vertical="center"/>
    </xf>
    <xf numFmtId="44" fontId="17" fillId="0" borderId="118" xfId="0" applyNumberFormat="1" applyFont="1" applyBorder="1" applyAlignment="1">
      <alignment horizontal="center" vertical="center" wrapText="1"/>
    </xf>
    <xf numFmtId="44" fontId="4" fillId="0" borderId="60" xfId="1" applyNumberFormat="1" applyFont="1" applyBorder="1" applyAlignment="1">
      <alignment vertical="center"/>
    </xf>
    <xf numFmtId="44" fontId="72" fillId="7" borderId="42" xfId="1" applyNumberFormat="1" applyFont="1" applyFill="1" applyBorder="1" applyAlignment="1">
      <alignment vertical="center"/>
    </xf>
    <xf numFmtId="44" fontId="4" fillId="0" borderId="45" xfId="0" applyNumberFormat="1" applyFont="1" applyBorder="1" applyAlignment="1">
      <alignment vertical="center"/>
    </xf>
    <xf numFmtId="44" fontId="7" fillId="0" borderId="153" xfId="0" applyNumberFormat="1" applyFont="1" applyBorder="1" applyAlignment="1">
      <alignment vertical="center"/>
    </xf>
    <xf numFmtId="44" fontId="4" fillId="0" borderId="145" xfId="1" applyNumberFormat="1" applyFont="1" applyFill="1" applyBorder="1" applyAlignment="1">
      <alignment vertical="center"/>
    </xf>
    <xf numFmtId="43" fontId="20" fillId="3" borderId="24" xfId="0" applyNumberFormat="1" applyFont="1" applyFill="1" applyBorder="1" applyAlignment="1" applyProtection="1">
      <alignment vertical="center"/>
      <protection locked="0"/>
    </xf>
    <xf numFmtId="43" fontId="20" fillId="3" borderId="27" xfId="0" applyNumberFormat="1" applyFont="1" applyFill="1" applyBorder="1" applyAlignment="1" applyProtection="1">
      <alignment vertical="center"/>
      <protection locked="0"/>
    </xf>
    <xf numFmtId="43" fontId="20" fillId="3" borderId="62" xfId="0" applyNumberFormat="1" applyFont="1" applyFill="1" applyBorder="1" applyAlignment="1" applyProtection="1">
      <alignment vertical="center"/>
      <protection locked="0"/>
    </xf>
    <xf numFmtId="43" fontId="17" fillId="3" borderId="51" xfId="0" applyNumberFormat="1" applyFont="1" applyFill="1" applyBorder="1" applyAlignment="1">
      <alignment horizontal="right" vertical="center"/>
    </xf>
    <xf numFmtId="43" fontId="17" fillId="0" borderId="33" xfId="0" applyNumberFormat="1" applyFont="1" applyBorder="1" applyAlignment="1">
      <alignment horizontal="right" vertical="center"/>
    </xf>
    <xf numFmtId="43" fontId="7" fillId="0" borderId="0" xfId="0" applyNumberFormat="1" applyFont="1" applyBorder="1" applyAlignment="1">
      <alignment horizontal="right" vertical="center"/>
    </xf>
    <xf numFmtId="43" fontId="16" fillId="0" borderId="60" xfId="0" applyNumberFormat="1" applyFont="1" applyBorder="1" applyAlignment="1">
      <alignment vertical="center"/>
    </xf>
    <xf numFmtId="43" fontId="16" fillId="0" borderId="17" xfId="0" applyNumberFormat="1" applyFont="1" applyBorder="1" applyAlignment="1">
      <alignment vertical="center"/>
    </xf>
    <xf numFmtId="43" fontId="20" fillId="3" borderId="24" xfId="0" applyNumberFormat="1" applyFont="1" applyFill="1" applyBorder="1" applyProtection="1">
      <protection locked="0"/>
    </xf>
    <xf numFmtId="43" fontId="20" fillId="3" borderId="30" xfId="0" applyNumberFormat="1" applyFont="1" applyFill="1" applyBorder="1" applyAlignment="1" applyProtection="1">
      <alignment vertical="center"/>
      <protection locked="0"/>
    </xf>
    <xf numFmtId="43" fontId="17" fillId="0" borderId="60" xfId="0" applyNumberFormat="1" applyFont="1" applyBorder="1" applyAlignment="1">
      <alignment horizontal="right" vertical="center"/>
    </xf>
    <xf numFmtId="43" fontId="16" fillId="0" borderId="21" xfId="0" applyNumberFormat="1" applyFont="1" applyBorder="1" applyAlignment="1">
      <alignment vertical="center"/>
    </xf>
    <xf numFmtId="0" fontId="20" fillId="3" borderId="24" xfId="0" applyNumberFormat="1" applyFont="1" applyFill="1" applyBorder="1" applyAlignment="1" applyProtection="1">
      <alignment vertical="center"/>
      <protection locked="0"/>
    </xf>
    <xf numFmtId="0" fontId="20" fillId="3" borderId="27" xfId="0" applyNumberFormat="1" applyFont="1" applyFill="1" applyBorder="1" applyAlignment="1" applyProtection="1">
      <alignment vertical="center"/>
      <protection locked="0"/>
    </xf>
    <xf numFmtId="0" fontId="20" fillId="3" borderId="30" xfId="0" applyNumberFormat="1" applyFont="1" applyFill="1" applyBorder="1" applyAlignment="1" applyProtection="1">
      <alignment vertical="center"/>
      <protection locked="0"/>
    </xf>
    <xf numFmtId="0" fontId="17" fillId="0" borderId="32" xfId="0" applyNumberFormat="1" applyFont="1" applyBorder="1" applyAlignment="1">
      <alignment horizontal="right" vertical="center"/>
    </xf>
    <xf numFmtId="0" fontId="16" fillId="0" borderId="6" xfId="0" applyNumberFormat="1" applyFont="1" applyBorder="1" applyAlignment="1">
      <alignment vertical="center"/>
    </xf>
    <xf numFmtId="0" fontId="16" fillId="0" borderId="60" xfId="0" applyNumberFormat="1" applyFont="1" applyBorder="1" applyAlignment="1">
      <alignment vertical="center"/>
    </xf>
    <xf numFmtId="0" fontId="16" fillId="0" borderId="17" xfId="0" applyNumberFormat="1" applyFont="1" applyBorder="1" applyAlignment="1">
      <alignment vertical="center"/>
    </xf>
    <xf numFmtId="0" fontId="17" fillId="0" borderId="30" xfId="0" applyNumberFormat="1" applyFont="1" applyBorder="1" applyAlignment="1">
      <alignment horizontal="center" vertical="center"/>
    </xf>
    <xf numFmtId="0" fontId="20" fillId="3" borderId="24" xfId="0" applyNumberFormat="1" applyFont="1" applyFill="1" applyBorder="1" applyProtection="1">
      <protection locked="0"/>
    </xf>
    <xf numFmtId="0" fontId="17" fillId="0" borderId="6" xfId="0" applyNumberFormat="1" applyFont="1" applyBorder="1" applyAlignment="1">
      <alignment horizontal="right" vertical="center"/>
    </xf>
    <xf numFmtId="0" fontId="17" fillId="0" borderId="60" xfId="0" applyNumberFormat="1" applyFont="1" applyBorder="1" applyAlignment="1">
      <alignment horizontal="right" vertical="center"/>
    </xf>
    <xf numFmtId="0" fontId="17" fillId="0" borderId="13" xfId="0" applyNumberFormat="1" applyFont="1" applyBorder="1" applyAlignment="1">
      <alignment horizontal="right" vertical="center"/>
    </xf>
    <xf numFmtId="0" fontId="16" fillId="0" borderId="21" xfId="0" applyNumberFormat="1" applyFont="1" applyBorder="1" applyAlignment="1">
      <alignment vertical="center"/>
    </xf>
    <xf numFmtId="44" fontId="4" fillId="0" borderId="154" xfId="1" applyNumberFormat="1" applyFont="1" applyBorder="1" applyAlignment="1">
      <alignment vertical="center"/>
    </xf>
    <xf numFmtId="44" fontId="7" fillId="0" borderId="153" xfId="1" applyNumberFormat="1" applyFont="1" applyBorder="1" applyAlignment="1">
      <alignment vertical="center"/>
    </xf>
    <xf numFmtId="44" fontId="72" fillId="3" borderId="14" xfId="0" applyNumberFormat="1" applyFont="1" applyFill="1" applyBorder="1" applyAlignment="1">
      <alignment vertical="center"/>
    </xf>
    <xf numFmtId="44" fontId="4" fillId="0" borderId="89" xfId="0" applyNumberFormat="1" applyFont="1" applyBorder="1" applyAlignment="1">
      <alignment vertical="center"/>
    </xf>
    <xf numFmtId="44" fontId="4" fillId="0" borderId="8" xfId="0" applyNumberFormat="1" applyFont="1" applyBorder="1" applyAlignment="1">
      <alignment vertical="center"/>
    </xf>
    <xf numFmtId="44" fontId="4" fillId="0" borderId="155" xfId="0" applyNumberFormat="1" applyFont="1" applyBorder="1" applyAlignment="1">
      <alignment vertical="center"/>
    </xf>
    <xf numFmtId="44" fontId="4" fillId="0" borderId="40" xfId="0" applyNumberFormat="1" applyFont="1" applyBorder="1" applyAlignment="1">
      <alignment vertical="center"/>
    </xf>
    <xf numFmtId="44" fontId="19" fillId="3" borderId="76" xfId="1" applyNumberFormat="1" applyFont="1" applyFill="1" applyBorder="1" applyAlignment="1" applyProtection="1">
      <alignment vertical="center"/>
      <protection locked="0"/>
    </xf>
    <xf numFmtId="44" fontId="19" fillId="3" borderId="151" xfId="1" applyNumberFormat="1" applyFont="1" applyFill="1" applyBorder="1" applyAlignment="1" applyProtection="1">
      <alignment vertical="center"/>
      <protection locked="0"/>
    </xf>
    <xf numFmtId="44" fontId="19" fillId="3" borderId="154" xfId="1" applyNumberFormat="1" applyFont="1" applyFill="1" applyBorder="1" applyAlignment="1" applyProtection="1">
      <alignment vertical="center"/>
      <protection locked="0"/>
    </xf>
    <xf numFmtId="44" fontId="6" fillId="0" borderId="121" xfId="1" applyNumberFormat="1" applyFont="1" applyBorder="1" applyAlignment="1" applyProtection="1">
      <alignment vertical="center"/>
    </xf>
    <xf numFmtId="44" fontId="7" fillId="0" borderId="75" xfId="1" applyNumberFormat="1" applyFont="1" applyBorder="1" applyAlignment="1">
      <alignment vertical="center"/>
    </xf>
    <xf numFmtId="43" fontId="19" fillId="3" borderId="24" xfId="0" applyNumberFormat="1" applyFont="1" applyFill="1" applyBorder="1" applyProtection="1">
      <protection locked="0"/>
    </xf>
    <xf numFmtId="43" fontId="19" fillId="3" borderId="27" xfId="0" applyNumberFormat="1" applyFont="1" applyFill="1" applyBorder="1" applyAlignment="1" applyProtection="1">
      <alignment vertical="center"/>
      <protection locked="0"/>
    </xf>
    <xf numFmtId="43" fontId="19" fillId="3" borderId="62" xfId="0" applyNumberFormat="1" applyFont="1" applyFill="1" applyBorder="1" applyAlignment="1" applyProtection="1">
      <alignment vertical="center"/>
      <protection locked="0"/>
    </xf>
    <xf numFmtId="43" fontId="7" fillId="0" borderId="33" xfId="0" applyNumberFormat="1" applyFont="1" applyBorder="1" applyAlignment="1">
      <alignment horizontal="right" vertical="center"/>
    </xf>
    <xf numFmtId="43" fontId="7" fillId="0" borderId="6" xfId="0" applyNumberFormat="1" applyFont="1" applyBorder="1" applyAlignment="1">
      <alignment horizontal="right" vertical="center"/>
    </xf>
    <xf numFmtId="43" fontId="14" fillId="0" borderId="13" xfId="0" applyNumberFormat="1" applyFont="1" applyBorder="1" applyAlignment="1">
      <alignment vertical="center"/>
    </xf>
    <xf numFmtId="43" fontId="14" fillId="0" borderId="0" xfId="0" applyNumberFormat="1" applyFont="1" applyBorder="1" applyAlignment="1">
      <alignment vertical="center"/>
    </xf>
    <xf numFmtId="43" fontId="14" fillId="0" borderId="41" xfId="0" applyNumberFormat="1" applyFont="1" applyBorder="1" applyAlignment="1">
      <alignment vertical="center"/>
    </xf>
    <xf numFmtId="0" fontId="15" fillId="0" borderId="38" xfId="0" applyFont="1" applyBorder="1" applyAlignment="1">
      <alignment horizontal="center" vertical="center" wrapText="1"/>
    </xf>
    <xf numFmtId="0" fontId="15" fillId="0" borderId="1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2" xfId="0" applyFont="1" applyBorder="1" applyAlignment="1">
      <alignment horizontal="center" vertical="center" wrapText="1"/>
    </xf>
    <xf numFmtId="44" fontId="17" fillId="0" borderId="42" xfId="0" applyNumberFormat="1" applyFont="1" applyBorder="1" applyAlignment="1">
      <alignment horizontal="center" vertical="center" wrapText="1"/>
    </xf>
    <xf numFmtId="0" fontId="17" fillId="0" borderId="85" xfId="0" applyFont="1" applyBorder="1" applyAlignment="1">
      <alignment horizontal="center" vertical="center" wrapText="1"/>
    </xf>
    <xf numFmtId="0" fontId="17" fillId="0" borderId="38" xfId="0" applyFont="1" applyBorder="1" applyAlignment="1">
      <alignment horizontal="center" vertical="center"/>
    </xf>
    <xf numFmtId="0" fontId="17" fillId="0" borderId="19" xfId="0" applyFont="1" applyBorder="1" applyAlignment="1">
      <alignment horizontal="center" vertical="center"/>
    </xf>
    <xf numFmtId="0" fontId="17" fillId="0" borderId="19" xfId="0" applyNumberFormat="1" applyFont="1" applyBorder="1" applyAlignment="1">
      <alignment horizontal="center" vertical="center" wrapText="1"/>
    </xf>
    <xf numFmtId="0" fontId="19" fillId="3" borderId="24" xfId="0" applyNumberFormat="1" applyFont="1" applyFill="1" applyBorder="1" applyAlignment="1" applyProtection="1">
      <alignment vertical="center"/>
      <protection locked="0"/>
    </xf>
    <xf numFmtId="0" fontId="19" fillId="3" borderId="27" xfId="0" applyNumberFormat="1" applyFont="1" applyFill="1" applyBorder="1" applyAlignment="1" applyProtection="1">
      <alignment vertical="center"/>
      <protection locked="0"/>
    </xf>
    <xf numFmtId="0" fontId="19" fillId="3" borderId="62" xfId="0" applyNumberFormat="1" applyFont="1" applyFill="1" applyBorder="1" applyAlignment="1" applyProtection="1">
      <alignment vertical="center"/>
      <protection locked="0"/>
    </xf>
    <xf numFmtId="0" fontId="7" fillId="0" borderId="32" xfId="0" applyNumberFormat="1" applyFont="1" applyBorder="1" applyAlignment="1">
      <alignment horizontal="right" vertical="center"/>
    </xf>
    <xf numFmtId="0" fontId="7" fillId="0" borderId="33" xfId="0" applyNumberFormat="1" applyFont="1" applyBorder="1" applyAlignment="1">
      <alignment horizontal="right" vertical="center"/>
    </xf>
    <xf numFmtId="0" fontId="14" fillId="0" borderId="0" xfId="0" applyNumberFormat="1" applyFont="1" applyBorder="1" applyAlignment="1">
      <alignment vertical="center"/>
    </xf>
    <xf numFmtId="0" fontId="7" fillId="0" borderId="6" xfId="0" applyNumberFormat="1" applyFont="1" applyBorder="1" applyAlignment="1">
      <alignment horizontal="right" vertical="center"/>
    </xf>
    <xf numFmtId="0" fontId="14" fillId="0" borderId="32" xfId="0" applyNumberFormat="1" applyFont="1" applyBorder="1" applyAlignment="1">
      <alignment vertical="center"/>
    </xf>
    <xf numFmtId="44" fontId="4" fillId="0" borderId="131" xfId="1" applyNumberFormat="1" applyFont="1" applyBorder="1" applyAlignment="1">
      <alignment vertical="center"/>
    </xf>
    <xf numFmtId="44" fontId="14" fillId="0" borderId="45" xfId="0" applyNumberFormat="1" applyFont="1" applyBorder="1" applyAlignment="1">
      <alignment vertical="center"/>
    </xf>
    <xf numFmtId="44" fontId="14" fillId="0" borderId="40" xfId="0" applyNumberFormat="1" applyFont="1" applyBorder="1" applyAlignment="1">
      <alignment vertical="center"/>
    </xf>
    <xf numFmtId="44" fontId="14" fillId="0" borderId="45" xfId="0" applyNumberFormat="1" applyFont="1" applyBorder="1" applyAlignment="1">
      <alignment horizontal="left" vertical="center"/>
    </xf>
    <xf numFmtId="44" fontId="16" fillId="0" borderId="14" xfId="0" applyNumberFormat="1" applyFont="1" applyBorder="1" applyAlignment="1">
      <alignment vertical="center"/>
    </xf>
    <xf numFmtId="44" fontId="17" fillId="0" borderId="121" xfId="1" applyNumberFormat="1" applyFont="1" applyBorder="1" applyAlignment="1">
      <alignment vertical="center"/>
    </xf>
    <xf numFmtId="44" fontId="17" fillId="0" borderId="119" xfId="1" applyNumberFormat="1" applyFont="1" applyBorder="1" applyAlignment="1">
      <alignment vertical="center"/>
    </xf>
    <xf numFmtId="0" fontId="15" fillId="0" borderId="19" xfId="0" applyFont="1" applyBorder="1" applyAlignment="1">
      <alignment horizontal="center" vertical="center"/>
    </xf>
    <xf numFmtId="170" fontId="15" fillId="0" borderId="42" xfId="0" applyNumberFormat="1" applyFont="1" applyBorder="1" applyAlignment="1">
      <alignment horizontal="center" vertical="center" wrapText="1"/>
    </xf>
    <xf numFmtId="44" fontId="15" fillId="0" borderId="42" xfId="0" applyNumberFormat="1" applyFont="1" applyBorder="1" applyAlignment="1">
      <alignment horizontal="center" vertical="center" wrapText="1"/>
    </xf>
    <xf numFmtId="43" fontId="19" fillId="3" borderId="52" xfId="1" applyNumberFormat="1" applyFont="1" applyFill="1" applyBorder="1" applyProtection="1">
      <protection locked="0"/>
    </xf>
    <xf numFmtId="43" fontId="19" fillId="3" borderId="27" xfId="1" applyNumberFormat="1" applyFont="1" applyFill="1" applyBorder="1" applyAlignment="1" applyProtection="1">
      <alignment vertical="center"/>
      <protection locked="0"/>
    </xf>
    <xf numFmtId="43" fontId="19" fillId="3" borderId="62" xfId="1" applyNumberFormat="1" applyFont="1" applyFill="1" applyBorder="1" applyAlignment="1" applyProtection="1">
      <alignment vertical="center"/>
      <protection locked="0"/>
    </xf>
    <xf numFmtId="43" fontId="14" fillId="0" borderId="32" xfId="0" applyNumberFormat="1" applyFont="1" applyBorder="1" applyAlignment="1">
      <alignment vertical="center"/>
    </xf>
    <xf numFmtId="43" fontId="17" fillId="0" borderId="19" xfId="0" applyNumberFormat="1" applyFont="1" applyBorder="1" applyAlignment="1">
      <alignment horizontal="center" vertical="center"/>
    </xf>
    <xf numFmtId="43" fontId="19" fillId="3" borderId="24" xfId="1" applyNumberFormat="1" applyFont="1" applyFill="1" applyBorder="1" applyProtection="1">
      <protection locked="0"/>
    </xf>
    <xf numFmtId="43" fontId="14" fillId="0" borderId="21" xfId="0" applyNumberFormat="1" applyFont="1" applyBorder="1" applyAlignment="1">
      <alignment horizontal="left" vertical="center"/>
    </xf>
    <xf numFmtId="43" fontId="15" fillId="0" borderId="19" xfId="0" applyNumberFormat="1" applyFont="1" applyBorder="1" applyAlignment="1">
      <alignment horizontal="center" vertical="center" wrapText="1"/>
    </xf>
    <xf numFmtId="9" fontId="19" fillId="3" borderId="24" xfId="15" applyFont="1" applyFill="1" applyBorder="1" applyAlignment="1" applyProtection="1">
      <alignment vertical="center"/>
      <protection locked="0"/>
    </xf>
    <xf numFmtId="9" fontId="19" fillId="3" borderId="27" xfId="15" applyFont="1" applyFill="1" applyBorder="1" applyAlignment="1" applyProtection="1">
      <alignment vertical="center"/>
      <protection locked="0"/>
    </xf>
    <xf numFmtId="9" fontId="19" fillId="3" borderId="52" xfId="15" applyFont="1" applyFill="1" applyBorder="1" applyAlignment="1" applyProtection="1">
      <alignment vertical="center"/>
      <protection locked="0"/>
    </xf>
    <xf numFmtId="43" fontId="19" fillId="3" borderId="24" xfId="1" applyNumberFormat="1" applyFont="1" applyFill="1" applyBorder="1" applyAlignment="1" applyProtection="1">
      <alignment vertical="center"/>
      <protection locked="0"/>
    </xf>
    <xf numFmtId="43" fontId="19" fillId="3" borderId="52" xfId="1" applyNumberFormat="1" applyFont="1" applyFill="1" applyBorder="1" applyAlignment="1" applyProtection="1">
      <alignment vertical="center"/>
      <protection locked="0"/>
    </xf>
    <xf numFmtId="0" fontId="17" fillId="0" borderId="102" xfId="0" applyFont="1" applyBorder="1" applyAlignment="1">
      <alignment horizontal="center" vertical="center" wrapText="1"/>
    </xf>
    <xf numFmtId="44" fontId="7" fillId="0" borderId="15" xfId="1" applyNumberFormat="1" applyFont="1" applyBorder="1" applyAlignment="1">
      <alignment vertical="center"/>
    </xf>
    <xf numFmtId="44" fontId="72" fillId="7" borderId="118" xfId="1" applyNumberFormat="1" applyFont="1" applyFill="1" applyBorder="1" applyAlignment="1">
      <alignment vertical="center"/>
    </xf>
    <xf numFmtId="44" fontId="4" fillId="0" borderId="76" xfId="1" applyNumberFormat="1" applyFont="1" applyFill="1" applyBorder="1" applyAlignment="1">
      <alignment vertical="center"/>
    </xf>
    <xf numFmtId="44" fontId="4" fillId="0" borderId="151" xfId="1" applyNumberFormat="1" applyFont="1" applyFill="1" applyBorder="1" applyAlignment="1">
      <alignment vertical="center"/>
    </xf>
    <xf numFmtId="44" fontId="4" fillId="0" borderId="152" xfId="1" applyNumberFormat="1" applyFont="1" applyFill="1" applyBorder="1" applyAlignment="1">
      <alignment vertical="center"/>
    </xf>
    <xf numFmtId="44" fontId="5" fillId="0" borderId="150" xfId="1" applyNumberFormat="1" applyFont="1" applyBorder="1" applyAlignment="1" applyProtection="1">
      <alignment vertical="center"/>
    </xf>
    <xf numFmtId="44" fontId="5" fillId="0" borderId="151" xfId="1" applyNumberFormat="1" applyFont="1" applyBorder="1" applyAlignment="1" applyProtection="1">
      <alignment vertical="center"/>
    </xf>
    <xf numFmtId="44" fontId="5" fillId="0" borderId="156" xfId="1" applyNumberFormat="1" applyFont="1" applyBorder="1" applyAlignment="1" applyProtection="1">
      <alignment vertical="center"/>
    </xf>
    <xf numFmtId="44" fontId="7" fillId="0" borderId="15" xfId="1" applyNumberFormat="1" applyFont="1" applyBorder="1" applyAlignment="1" applyProtection="1">
      <alignment vertical="center"/>
    </xf>
    <xf numFmtId="44" fontId="5" fillId="0" borderId="76" xfId="1" applyNumberFormat="1" applyFont="1" applyBorder="1" applyAlignment="1" applyProtection="1">
      <alignment vertical="center"/>
    </xf>
    <xf numFmtId="44" fontId="5" fillId="0" borderId="152" xfId="1" applyNumberFormat="1" applyFont="1" applyBorder="1" applyAlignment="1" applyProtection="1">
      <alignment vertical="center"/>
    </xf>
    <xf numFmtId="44" fontId="7" fillId="0" borderId="14" xfId="0" applyNumberFormat="1" applyFont="1" applyBorder="1" applyAlignment="1">
      <alignment vertical="center"/>
    </xf>
    <xf numFmtId="44" fontId="46" fillId="0" borderId="157" xfId="1" applyNumberFormat="1" applyFont="1" applyBorder="1" applyAlignment="1" applyProtection="1">
      <alignment vertical="center"/>
    </xf>
    <xf numFmtId="44" fontId="46" fillId="0" borderId="75" xfId="1" applyNumberFormat="1" applyFont="1" applyBorder="1" applyAlignment="1" applyProtection="1">
      <alignment vertical="center"/>
    </xf>
    <xf numFmtId="0" fontId="17" fillId="0" borderId="21" xfId="0" applyFont="1" applyBorder="1" applyAlignment="1">
      <alignment horizontal="center" vertical="center" wrapText="1"/>
    </xf>
    <xf numFmtId="0" fontId="46" fillId="0" borderId="102" xfId="0" applyFont="1" applyBorder="1" applyAlignment="1" applyProtection="1">
      <alignment horizontal="center" vertical="center" wrapText="1"/>
    </xf>
    <xf numFmtId="43" fontId="17" fillId="0" borderId="19" xfId="0" applyNumberFormat="1" applyFont="1" applyBorder="1" applyAlignment="1">
      <alignment horizontal="center" vertical="center" wrapText="1"/>
    </xf>
    <xf numFmtId="44" fontId="19" fillId="3" borderId="146" xfId="1" applyNumberFormat="1" applyFont="1" applyFill="1" applyBorder="1" applyAlignment="1" applyProtection="1">
      <alignment vertical="center"/>
      <protection locked="0"/>
    </xf>
    <xf numFmtId="44" fontId="19" fillId="3" borderId="156" xfId="1" applyNumberFormat="1" applyFont="1" applyFill="1" applyBorder="1" applyAlignment="1" applyProtection="1">
      <alignment vertical="center"/>
      <protection locked="0"/>
    </xf>
    <xf numFmtId="44" fontId="22" fillId="0" borderId="131" xfId="1" applyNumberFormat="1" applyFont="1" applyBorder="1" applyAlignment="1">
      <alignment vertical="center"/>
    </xf>
    <xf numFmtId="44" fontId="7" fillId="0" borderId="148" xfId="1" applyNumberFormat="1" applyFont="1" applyBorder="1" applyAlignment="1">
      <alignment vertical="center"/>
    </xf>
    <xf numFmtId="0" fontId="14" fillId="0" borderId="158" xfId="0" applyFont="1" applyBorder="1" applyAlignment="1">
      <alignment horizontal="right" vertical="center"/>
    </xf>
    <xf numFmtId="0" fontId="16" fillId="0" borderId="159" xfId="0" applyFont="1" applyFill="1" applyBorder="1" applyAlignment="1" applyProtection="1">
      <alignment horizontal="right" vertical="center"/>
    </xf>
    <xf numFmtId="49" fontId="14" fillId="0" borderId="8" xfId="0" applyNumberFormat="1" applyFont="1" applyBorder="1" applyAlignment="1" applyProtection="1">
      <alignment horizontal="left" vertical="center"/>
    </xf>
    <xf numFmtId="49" fontId="16" fillId="0" borderId="8" xfId="0" applyNumberFormat="1" applyFont="1" applyFill="1" applyBorder="1" applyAlignment="1" applyProtection="1">
      <alignment horizontal="left" vertical="center"/>
    </xf>
    <xf numFmtId="49" fontId="17" fillId="9" borderId="122" xfId="0" applyNumberFormat="1" applyFont="1" applyFill="1" applyBorder="1" applyAlignment="1" applyProtection="1">
      <alignment horizontal="center" vertical="center"/>
      <protection locked="0"/>
    </xf>
    <xf numFmtId="177" fontId="17" fillId="3" borderId="19" xfId="0" applyNumberFormat="1" applyFont="1" applyFill="1" applyBorder="1" applyAlignment="1" applyProtection="1">
      <alignment horizontal="center" vertical="center"/>
      <protection locked="0"/>
    </xf>
    <xf numFmtId="178" fontId="17" fillId="3" borderId="19" xfId="0" applyNumberFormat="1" applyFont="1" applyFill="1" applyBorder="1" applyAlignment="1" applyProtection="1">
      <alignment horizontal="center" vertical="center"/>
      <protection locked="0"/>
    </xf>
    <xf numFmtId="49" fontId="17" fillId="3" borderId="24" xfId="0" applyNumberFormat="1" applyFont="1" applyFill="1" applyBorder="1" applyAlignment="1" applyProtection="1">
      <alignment horizontal="center" vertical="center"/>
      <protection locked="0"/>
    </xf>
    <xf numFmtId="0" fontId="25" fillId="0" borderId="160" xfId="0" applyFont="1" applyFill="1" applyBorder="1" applyAlignment="1" applyProtection="1">
      <alignment horizontal="right" vertical="center"/>
    </xf>
    <xf numFmtId="0" fontId="27" fillId="3" borderId="53"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1" fontId="114" fillId="3" borderId="19" xfId="0" applyNumberFormat="1" applyFont="1" applyFill="1" applyBorder="1" applyAlignment="1" applyProtection="1">
      <alignment horizontal="center" vertical="center"/>
      <protection locked="0"/>
    </xf>
    <xf numFmtId="0" fontId="27" fillId="0" borderId="19" xfId="0" applyFont="1" applyBorder="1" applyAlignment="1">
      <alignment horizontal="right" vertical="center"/>
    </xf>
    <xf numFmtId="44" fontId="27" fillId="3" borderId="42" xfId="0" applyNumberFormat="1" applyFont="1" applyFill="1" applyBorder="1" applyAlignment="1" applyProtection="1">
      <alignment vertical="center"/>
      <protection locked="0"/>
    </xf>
    <xf numFmtId="0" fontId="4" fillId="0" borderId="159" xfId="0" applyFont="1" applyFill="1" applyBorder="1" applyAlignment="1" applyProtection="1">
      <alignment horizontal="right" vertical="center"/>
    </xf>
    <xf numFmtId="0" fontId="14" fillId="0" borderId="0"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xf>
    <xf numFmtId="0" fontId="117" fillId="0" borderId="160" xfId="0" applyFont="1" applyFill="1" applyBorder="1" applyAlignment="1" applyProtection="1">
      <alignment horizontal="right" vertical="center"/>
    </xf>
    <xf numFmtId="9" fontId="27" fillId="3" borderId="19" xfId="0" applyNumberFormat="1" applyFont="1" applyFill="1" applyBorder="1" applyAlignment="1" applyProtection="1">
      <alignment horizontal="center" vertical="center"/>
      <protection locked="0"/>
    </xf>
    <xf numFmtId="0" fontId="118" fillId="0" borderId="0" xfId="0" applyFont="1" applyFill="1"/>
    <xf numFmtId="0" fontId="22" fillId="0" borderId="126" xfId="0" applyFont="1" applyFill="1" applyBorder="1" applyAlignment="1"/>
    <xf numFmtId="0" fontId="22" fillId="0" borderId="71" xfId="0" applyFont="1" applyFill="1" applyBorder="1" applyAlignment="1"/>
    <xf numFmtId="0" fontId="22" fillId="0" borderId="71" xfId="0" applyFont="1" applyFill="1" applyBorder="1" applyAlignment="1" applyProtection="1">
      <alignment wrapText="1"/>
    </xf>
    <xf numFmtId="0" fontId="22" fillId="0" borderId="71" xfId="0" applyFont="1" applyFill="1" applyBorder="1" applyAlignment="1" applyProtection="1"/>
    <xf numFmtId="0" fontId="22" fillId="0" borderId="71" xfId="0" applyFont="1" applyFill="1" applyBorder="1" applyAlignment="1" applyProtection="1">
      <alignment horizontal="center" wrapText="1"/>
    </xf>
    <xf numFmtId="0" fontId="22" fillId="0" borderId="123" xfId="0" applyFont="1" applyFill="1" applyBorder="1" applyAlignment="1">
      <alignment horizontal="center"/>
    </xf>
    <xf numFmtId="0" fontId="72" fillId="0" borderId="127" xfId="0" applyFont="1" applyFill="1" applyBorder="1" applyAlignment="1">
      <alignment vertical="center"/>
    </xf>
    <xf numFmtId="0" fontId="72" fillId="0" borderId="19" xfId="0" applyFont="1" applyFill="1" applyBorder="1" applyAlignment="1">
      <alignment horizontal="left" vertical="center" wrapText="1"/>
    </xf>
    <xf numFmtId="9" fontId="72" fillId="0" borderId="19" xfId="15" applyFont="1" applyFill="1" applyBorder="1" applyAlignment="1">
      <alignment horizontal="center" vertical="center" wrapText="1"/>
    </xf>
    <xf numFmtId="0" fontId="72" fillId="0" borderId="19" xfId="0" applyFont="1" applyFill="1" applyBorder="1" applyAlignment="1">
      <alignment vertical="center"/>
    </xf>
    <xf numFmtId="9" fontId="72" fillId="0" borderId="19" xfId="15" applyFont="1" applyFill="1" applyBorder="1" applyAlignment="1">
      <alignment vertical="center"/>
    </xf>
    <xf numFmtId="10" fontId="72" fillId="0" borderId="125" xfId="0" applyNumberFormat="1" applyFont="1" applyFill="1" applyBorder="1" applyAlignment="1">
      <alignment vertical="center"/>
    </xf>
    <xf numFmtId="0" fontId="72" fillId="0" borderId="128" xfId="0" applyFont="1" applyFill="1" applyBorder="1" applyAlignment="1">
      <alignment vertical="center"/>
    </xf>
    <xf numFmtId="0" fontId="72" fillId="0" borderId="129" xfId="0" applyFont="1" applyFill="1" applyBorder="1" applyAlignment="1">
      <alignment horizontal="left" vertical="center" wrapText="1"/>
    </xf>
    <xf numFmtId="9" fontId="72" fillId="0" borderId="129" xfId="15" applyFont="1" applyFill="1" applyBorder="1" applyAlignment="1">
      <alignment horizontal="center" vertical="center" wrapText="1"/>
    </xf>
    <xf numFmtId="0" fontId="72" fillId="0" borderId="129" xfId="0" applyFont="1" applyFill="1" applyBorder="1" applyAlignment="1">
      <alignment vertical="center"/>
    </xf>
    <xf numFmtId="9" fontId="72" fillId="0" borderId="129" xfId="15" applyFont="1" applyFill="1" applyBorder="1" applyAlignment="1">
      <alignment vertical="center"/>
    </xf>
    <xf numFmtId="10" fontId="72" fillId="0" borderId="130" xfId="0" applyNumberFormat="1" applyFont="1" applyFill="1" applyBorder="1" applyAlignment="1">
      <alignment vertical="center"/>
    </xf>
    <xf numFmtId="44" fontId="16" fillId="3" borderId="30" xfId="0" applyNumberFormat="1" applyFont="1" applyFill="1" applyBorder="1" applyAlignment="1" applyProtection="1">
      <alignment horizontal="right" vertical="center"/>
      <protection locked="0"/>
    </xf>
    <xf numFmtId="44" fontId="16" fillId="3" borderId="19" xfId="0" applyNumberFormat="1" applyFont="1" applyFill="1" applyBorder="1" applyAlignment="1" applyProtection="1">
      <alignment horizontal="right" vertical="center"/>
      <protection locked="0"/>
    </xf>
    <xf numFmtId="44" fontId="20" fillId="0" borderId="55" xfId="0" applyNumberFormat="1" applyFont="1" applyFill="1" applyBorder="1" applyAlignment="1" applyProtection="1">
      <alignment horizontal="right" vertical="center"/>
    </xf>
    <xf numFmtId="44" fontId="16" fillId="12" borderId="131" xfId="0" applyNumberFormat="1" applyFont="1" applyFill="1" applyBorder="1" applyAlignment="1" applyProtection="1">
      <alignment horizontal="right" vertical="center"/>
    </xf>
    <xf numFmtId="44" fontId="4" fillId="3" borderId="15" xfId="0" applyNumberFormat="1" applyFont="1" applyFill="1" applyBorder="1" applyAlignment="1" applyProtection="1">
      <alignment horizontal="right" vertical="center"/>
      <protection locked="0"/>
    </xf>
    <xf numFmtId="44" fontId="16" fillId="3" borderId="39" xfId="0" applyNumberFormat="1" applyFont="1" applyFill="1" applyBorder="1" applyAlignment="1" applyProtection="1">
      <alignment horizontal="right" vertical="center"/>
      <protection locked="0"/>
    </xf>
    <xf numFmtId="44" fontId="16" fillId="3" borderId="161" xfId="0" applyNumberFormat="1" applyFont="1" applyFill="1" applyBorder="1" applyAlignment="1" applyProtection="1">
      <alignment horizontal="right" vertical="center"/>
      <protection locked="0"/>
    </xf>
    <xf numFmtId="44" fontId="20" fillId="0" borderId="134" xfId="0" applyNumberFormat="1" applyFont="1" applyFill="1" applyBorder="1" applyAlignment="1" applyProtection="1">
      <alignment vertical="center"/>
    </xf>
    <xf numFmtId="44" fontId="16" fillId="12" borderId="135" xfId="0" applyNumberFormat="1" applyFont="1" applyFill="1" applyBorder="1" applyAlignment="1" applyProtection="1">
      <alignment vertical="center"/>
    </xf>
    <xf numFmtId="44" fontId="4" fillId="12" borderId="135" xfId="0" applyNumberFormat="1" applyFont="1" applyFill="1" applyBorder="1" applyAlignment="1" applyProtection="1">
      <alignment vertical="center"/>
    </xf>
    <xf numFmtId="44" fontId="16" fillId="3" borderId="143" xfId="0" applyNumberFormat="1" applyFont="1" applyFill="1" applyBorder="1" applyAlignment="1" applyProtection="1">
      <alignment horizontal="right" vertical="center"/>
      <protection locked="0"/>
    </xf>
    <xf numFmtId="44" fontId="4" fillId="0" borderId="144" xfId="0" applyNumberFormat="1" applyFont="1" applyBorder="1" applyAlignment="1" applyProtection="1">
      <alignment vertical="center"/>
    </xf>
    <xf numFmtId="0" fontId="14" fillId="0" borderId="158" xfId="0" applyFont="1" applyBorder="1" applyAlignment="1" applyProtection="1">
      <alignment horizontal="right" vertical="center"/>
    </xf>
    <xf numFmtId="0" fontId="103" fillId="0" borderId="0" xfId="0" applyFont="1" applyFill="1" applyBorder="1" applyAlignment="1" applyProtection="1">
      <alignment horizontal="center" vertical="center"/>
    </xf>
    <xf numFmtId="44" fontId="16" fillId="3" borderId="30" xfId="0" applyNumberFormat="1" applyFont="1" applyFill="1" applyBorder="1" applyAlignment="1" applyProtection="1">
      <alignment horizontal="right" vertical="center"/>
    </xf>
    <xf numFmtId="44" fontId="16" fillId="3" borderId="19" xfId="0" applyNumberFormat="1" applyFont="1" applyFill="1" applyBorder="1" applyAlignment="1" applyProtection="1">
      <alignment horizontal="right" vertical="center"/>
    </xf>
    <xf numFmtId="44" fontId="4" fillId="3" borderId="131" xfId="0" applyNumberFormat="1" applyFont="1" applyFill="1" applyBorder="1" applyAlignment="1" applyProtection="1">
      <alignment horizontal="right" vertical="center"/>
    </xf>
    <xf numFmtId="44" fontId="4" fillId="3" borderId="15" xfId="0" applyNumberFormat="1" applyFont="1" applyFill="1" applyBorder="1" applyAlignment="1" applyProtection="1">
      <alignment horizontal="right" vertical="center"/>
    </xf>
    <xf numFmtId="44" fontId="16" fillId="3" borderId="39" xfId="0" applyNumberFormat="1" applyFont="1" applyFill="1" applyBorder="1" applyAlignment="1" applyProtection="1">
      <alignment horizontal="right" vertical="center"/>
    </xf>
    <xf numFmtId="44" fontId="16" fillId="3" borderId="161" xfId="0" applyNumberFormat="1" applyFont="1" applyFill="1" applyBorder="1" applyAlignment="1" applyProtection="1">
      <alignment horizontal="right" vertical="center"/>
    </xf>
    <xf numFmtId="44" fontId="4" fillId="12" borderId="55" xfId="0" applyNumberFormat="1" applyFont="1" applyFill="1" applyBorder="1" applyAlignment="1" applyProtection="1">
      <alignment vertical="center"/>
    </xf>
    <xf numFmtId="44" fontId="16" fillId="3" borderId="143" xfId="0" applyNumberFormat="1" applyFont="1" applyFill="1" applyBorder="1" applyAlignment="1" applyProtection="1">
      <alignment horizontal="right" vertical="center"/>
    </xf>
    <xf numFmtId="44" fontId="4" fillId="0" borderId="75" xfId="0" applyNumberFormat="1" applyFont="1" applyBorder="1" applyAlignment="1" applyProtection="1">
      <alignment vertical="center"/>
    </xf>
    <xf numFmtId="0" fontId="98" fillId="0" borderId="0" xfId="0" applyFont="1" applyBorder="1" applyAlignment="1" applyProtection="1">
      <alignment horizontal="centerContinuous" vertical="center"/>
    </xf>
    <xf numFmtId="0" fontId="14" fillId="0" borderId="0" xfId="0" applyFont="1" applyBorder="1" applyAlignment="1" applyProtection="1">
      <alignment horizontal="centerContinuous" vertical="center"/>
    </xf>
    <xf numFmtId="0" fontId="37" fillId="0" borderId="0" xfId="0" applyFont="1" applyBorder="1" applyAlignment="1" applyProtection="1">
      <alignment horizontal="centerContinuous" vertical="center"/>
    </xf>
    <xf numFmtId="0" fontId="27" fillId="0" borderId="0" xfId="0" applyFont="1" applyBorder="1" applyAlignment="1" applyProtection="1">
      <alignment horizontal="centerContinuous" vertical="center"/>
    </xf>
    <xf numFmtId="0" fontId="37" fillId="2" borderId="0" xfId="0" applyFont="1" applyFill="1" applyBorder="1" applyAlignment="1" applyProtection="1">
      <alignment horizontal="centerContinuous" vertical="center"/>
    </xf>
    <xf numFmtId="0" fontId="14" fillId="0" borderId="0" xfId="0" applyFont="1" applyBorder="1" applyAlignment="1">
      <alignment horizontal="centerContinuous" vertical="center"/>
    </xf>
    <xf numFmtId="44" fontId="4" fillId="12" borderId="68" xfId="0" applyNumberFormat="1" applyFont="1" applyFill="1" applyBorder="1" applyAlignment="1" applyProtection="1">
      <alignment horizontal="right" vertical="center"/>
    </xf>
    <xf numFmtId="44" fontId="16" fillId="3" borderId="132" xfId="0" applyNumberFormat="1" applyFont="1" applyFill="1" applyBorder="1" applyAlignment="1" applyProtection="1">
      <alignment horizontal="right" vertical="center"/>
      <protection locked="0"/>
    </xf>
    <xf numFmtId="44" fontId="16" fillId="3" borderId="134" xfId="0" applyNumberFormat="1" applyFont="1" applyFill="1" applyBorder="1" applyAlignment="1" applyProtection="1">
      <alignment horizontal="right" vertical="center"/>
      <protection locked="0"/>
    </xf>
    <xf numFmtId="44" fontId="16" fillId="12" borderId="144" xfId="0" applyNumberFormat="1" applyFont="1" applyFill="1" applyBorder="1" applyAlignment="1" applyProtection="1">
      <alignment horizontal="right" vertical="center"/>
    </xf>
    <xf numFmtId="44" fontId="4" fillId="12" borderId="75" xfId="0" applyNumberFormat="1" applyFont="1" applyFill="1" applyBorder="1" applyAlignment="1" applyProtection="1">
      <alignment horizontal="right" vertical="center"/>
    </xf>
    <xf numFmtId="174" fontId="4" fillId="0" borderId="8" xfId="0" applyNumberFormat="1" applyFont="1" applyBorder="1" applyAlignment="1">
      <alignment horizontal="center"/>
    </xf>
    <xf numFmtId="42" fontId="17" fillId="0" borderId="118" xfId="0" applyNumberFormat="1" applyFont="1" applyBorder="1" applyAlignment="1" applyProtection="1">
      <alignment vertical="center"/>
    </xf>
    <xf numFmtId="42" fontId="17" fillId="0" borderId="145" xfId="0" applyNumberFormat="1" applyFont="1" applyBorder="1" applyAlignment="1" applyProtection="1">
      <alignment vertical="center"/>
    </xf>
    <xf numFmtId="9" fontId="107" fillId="0" borderId="60" xfId="0" applyNumberFormat="1" applyFont="1" applyFill="1" applyBorder="1" applyAlignment="1" applyProtection="1">
      <alignment horizontal="center" vertical="center"/>
    </xf>
    <xf numFmtId="44" fontId="27" fillId="0" borderId="120" xfId="0" applyNumberFormat="1" applyFont="1" applyFill="1" applyBorder="1" applyAlignment="1" applyProtection="1">
      <alignment vertical="center"/>
    </xf>
    <xf numFmtId="44" fontId="20" fillId="0" borderId="162" xfId="0" applyNumberFormat="1" applyFont="1" applyFill="1" applyBorder="1" applyAlignment="1" applyProtection="1">
      <alignment horizontal="right" vertical="center"/>
    </xf>
    <xf numFmtId="44" fontId="16" fillId="12" borderId="163" xfId="0" applyNumberFormat="1" applyFont="1" applyFill="1" applyBorder="1" applyAlignment="1" applyProtection="1">
      <alignment horizontal="right" vertical="center"/>
    </xf>
    <xf numFmtId="44" fontId="16" fillId="12" borderId="152" xfId="0" applyNumberFormat="1" applyFont="1" applyFill="1" applyBorder="1" applyAlignment="1" applyProtection="1">
      <alignment horizontal="right" vertical="center"/>
    </xf>
    <xf numFmtId="44" fontId="4" fillId="3" borderId="164" xfId="0" applyNumberFormat="1" applyFont="1" applyFill="1" applyBorder="1" applyAlignment="1" applyProtection="1">
      <alignment horizontal="right" vertical="center"/>
      <protection locked="0"/>
    </xf>
    <xf numFmtId="44" fontId="4" fillId="3" borderId="165" xfId="0" applyNumberFormat="1" applyFont="1" applyFill="1" applyBorder="1" applyAlignment="1" applyProtection="1">
      <alignment horizontal="right" vertical="center"/>
      <protection locked="0"/>
    </xf>
    <xf numFmtId="44" fontId="4" fillId="3" borderId="166" xfId="0" applyNumberFormat="1" applyFont="1" applyFill="1" applyBorder="1" applyAlignment="1" applyProtection="1">
      <alignment horizontal="right" vertical="center"/>
      <protection locked="0"/>
    </xf>
    <xf numFmtId="0" fontId="0" fillId="0" borderId="19" xfId="0" applyBorder="1"/>
    <xf numFmtId="44" fontId="16" fillId="3" borderId="42" xfId="0" applyNumberFormat="1" applyFont="1" applyFill="1" applyBorder="1" applyAlignment="1" applyProtection="1">
      <alignment horizontal="right" vertical="center"/>
      <protection locked="0"/>
    </xf>
    <xf numFmtId="44" fontId="16" fillId="12" borderId="166" xfId="0" applyNumberFormat="1" applyFont="1" applyFill="1" applyBorder="1" applyAlignment="1" applyProtection="1">
      <alignment horizontal="right" vertical="center"/>
    </xf>
    <xf numFmtId="44" fontId="16" fillId="12" borderId="15" xfId="0" applyNumberFormat="1" applyFont="1" applyFill="1" applyBorder="1" applyAlignment="1" applyProtection="1">
      <alignment horizontal="right" vertical="center"/>
    </xf>
    <xf numFmtId="0" fontId="16" fillId="4" borderId="36" xfId="0" applyFont="1" applyFill="1" applyBorder="1" applyAlignment="1" applyProtection="1">
      <alignment horizontal="center" vertical="top" wrapText="1"/>
    </xf>
    <xf numFmtId="0" fontId="16" fillId="4" borderId="119" xfId="0" applyFont="1" applyFill="1" applyBorder="1" applyAlignment="1" applyProtection="1">
      <alignment horizontal="center" vertical="top" wrapText="1"/>
    </xf>
    <xf numFmtId="0" fontId="36" fillId="0" borderId="102" xfId="0" applyFont="1" applyBorder="1" applyAlignment="1" applyProtection="1">
      <alignment vertical="center"/>
    </xf>
    <xf numFmtId="0" fontId="0" fillId="0" borderId="8" xfId="0" applyBorder="1"/>
    <xf numFmtId="42" fontId="16" fillId="1" borderId="145" xfId="0" applyNumberFormat="1" applyFont="1" applyFill="1" applyBorder="1" applyAlignment="1" applyProtection="1">
      <alignment horizontal="right" vertical="center"/>
    </xf>
    <xf numFmtId="0" fontId="72" fillId="0" borderId="19" xfId="0" applyFont="1" applyBorder="1" applyAlignment="1">
      <alignment horizontal="center"/>
    </xf>
    <xf numFmtId="0" fontId="14" fillId="0" borderId="13" xfId="0" applyFont="1" applyBorder="1" applyAlignment="1">
      <alignment horizontal="right" vertical="center"/>
    </xf>
    <xf numFmtId="0" fontId="14" fillId="0" borderId="0" xfId="0" applyFont="1" applyBorder="1" applyAlignment="1">
      <alignment vertical="center"/>
    </xf>
    <xf numFmtId="0" fontId="14" fillId="0" borderId="6" xfId="0" applyFont="1" applyBorder="1" applyAlignment="1">
      <alignment horizontal="right" vertical="center"/>
    </xf>
    <xf numFmtId="0" fontId="120" fillId="0" borderId="9" xfId="0" applyFont="1" applyBorder="1"/>
    <xf numFmtId="0" fontId="1" fillId="0" borderId="10" xfId="0" applyFont="1" applyBorder="1"/>
    <xf numFmtId="0" fontId="120" fillId="0" borderId="10" xfId="0" applyFont="1" applyBorder="1"/>
    <xf numFmtId="0" fontId="7" fillId="0" borderId="10" xfId="0" applyFont="1" applyBorder="1"/>
    <xf numFmtId="0" fontId="1" fillId="0" borderId="11" xfId="0" applyFont="1" applyBorder="1"/>
    <xf numFmtId="0" fontId="1" fillId="0" borderId="9" xfId="0" applyFont="1" applyBorder="1"/>
    <xf numFmtId="0" fontId="1" fillId="0" borderId="2" xfId="0" applyFont="1" applyBorder="1"/>
    <xf numFmtId="0" fontId="1" fillId="0" borderId="0" xfId="0" applyFont="1" applyBorder="1"/>
    <xf numFmtId="0" fontId="1" fillId="0" borderId="0" xfId="0" applyFont="1"/>
    <xf numFmtId="0" fontId="1" fillId="0" borderId="8" xfId="0" applyFont="1" applyBorder="1"/>
    <xf numFmtId="0" fontId="7" fillId="0" borderId="0" xfId="0" applyFont="1"/>
    <xf numFmtId="0" fontId="7" fillId="0" borderId="0" xfId="0" applyFont="1" applyAlignment="1">
      <alignment horizontal="center"/>
    </xf>
    <xf numFmtId="179" fontId="1" fillId="0" borderId="96" xfId="0" applyNumberFormat="1" applyFont="1" applyBorder="1" applyAlignment="1">
      <alignment horizontal="center"/>
    </xf>
    <xf numFmtId="0" fontId="7" fillId="0" borderId="0" xfId="0" applyFont="1" applyAlignment="1"/>
    <xf numFmtId="180" fontId="1" fillId="0" borderId="196"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7" fillId="0" borderId="0" xfId="0" applyFont="1" applyBorder="1"/>
    <xf numFmtId="0" fontId="1" fillId="0" borderId="96" xfId="0" applyFont="1" applyBorder="1"/>
    <xf numFmtId="0" fontId="1" fillId="0" borderId="96" xfId="0" applyFont="1" applyBorder="1" applyAlignment="1">
      <alignment horizontal="right"/>
    </xf>
    <xf numFmtId="0" fontId="1" fillId="0" borderId="0" xfId="0" applyFont="1" applyAlignment="1">
      <alignment horizontal="right"/>
    </xf>
    <xf numFmtId="0" fontId="7" fillId="0" borderId="20" xfId="0" applyFont="1" applyBorder="1"/>
    <xf numFmtId="0" fontId="7" fillId="0" borderId="21" xfId="0" applyFont="1" applyBorder="1"/>
    <xf numFmtId="0" fontId="1" fillId="0" borderId="21" xfId="0" applyFont="1" applyBorder="1"/>
    <xf numFmtId="0" fontId="1" fillId="0" borderId="47" xfId="0" applyFont="1" applyBorder="1" applyAlignment="1"/>
    <xf numFmtId="0" fontId="7" fillId="0" borderId="33" xfId="0" applyFont="1" applyBorder="1"/>
    <xf numFmtId="0" fontId="1" fillId="0" borderId="24" xfId="0" applyFont="1" applyBorder="1" applyAlignment="1">
      <alignment horizontal="center"/>
    </xf>
    <xf numFmtId="0" fontId="1" fillId="0" borderId="47" xfId="0" applyFont="1" applyBorder="1"/>
    <xf numFmtId="0" fontId="1" fillId="0" borderId="21" xfId="0" applyFont="1" applyBorder="1" applyAlignment="1">
      <alignment horizontal="center"/>
    </xf>
    <xf numFmtId="0" fontId="1" fillId="0" borderId="102" xfId="0" applyFont="1" applyBorder="1" applyAlignment="1">
      <alignment horizontal="center"/>
    </xf>
    <xf numFmtId="0" fontId="1" fillId="0" borderId="32" xfId="0" applyFont="1" applyBorder="1" applyAlignment="1">
      <alignment horizontal="center"/>
    </xf>
    <xf numFmtId="0" fontId="1" fillId="0" borderId="76" xfId="0" applyFont="1" applyBorder="1" applyAlignment="1">
      <alignment horizontal="center"/>
    </xf>
    <xf numFmtId="0" fontId="7" fillId="13" borderId="31" xfId="0" applyFont="1" applyFill="1" applyBorder="1" applyAlignment="1">
      <alignment horizontal="centerContinuous"/>
    </xf>
    <xf numFmtId="0" fontId="1" fillId="0" borderId="47" xfId="0" applyFont="1" applyBorder="1" applyAlignment="1">
      <alignment horizontal="centerContinuous"/>
    </xf>
    <xf numFmtId="0" fontId="1" fillId="0" borderId="32" xfId="0" applyFont="1" applyBorder="1" applyAlignment="1"/>
    <xf numFmtId="0" fontId="7" fillId="0" borderId="47" xfId="0" applyFont="1" applyBorder="1" applyAlignment="1"/>
    <xf numFmtId="0" fontId="7" fillId="0" borderId="32" xfId="0" applyFont="1" applyBorder="1" applyAlignment="1">
      <alignment horizontal="centerContinuous"/>
    </xf>
    <xf numFmtId="0" fontId="7" fillId="0" borderId="47" xfId="0" applyFont="1" applyBorder="1" applyAlignment="1">
      <alignment horizontal="centerContinuous"/>
    </xf>
    <xf numFmtId="0" fontId="1" fillId="0" borderId="32" xfId="0" applyFont="1" applyBorder="1" applyAlignment="1">
      <alignment horizontal="centerContinuous"/>
    </xf>
    <xf numFmtId="0" fontId="1" fillId="0" borderId="53" xfId="0" applyFont="1" applyBorder="1"/>
    <xf numFmtId="0" fontId="1" fillId="0" borderId="52" xfId="0" applyFont="1" applyBorder="1" applyAlignment="1">
      <alignment horizontal="center"/>
    </xf>
    <xf numFmtId="0" fontId="1" fillId="0" borderId="47" xfId="0" applyFont="1" applyBorder="1" applyAlignment="1">
      <alignment horizontal="center"/>
    </xf>
    <xf numFmtId="0" fontId="1" fillId="0" borderId="0" xfId="0" applyFont="1" applyBorder="1" applyAlignment="1">
      <alignment horizontal="center"/>
    </xf>
    <xf numFmtId="0" fontId="1" fillId="0" borderId="131" xfId="0" applyFont="1" applyBorder="1" applyAlignment="1">
      <alignment horizontal="center"/>
    </xf>
    <xf numFmtId="0" fontId="7" fillId="13" borderId="34" xfId="0" applyFont="1" applyFill="1" applyBorder="1" applyAlignment="1">
      <alignment horizontal="center"/>
    </xf>
    <xf numFmtId="0" fontId="1" fillId="0" borderId="29" xfId="0" applyFont="1" applyBorder="1" applyAlignment="1"/>
    <xf numFmtId="0" fontId="1" fillId="0" borderId="13" xfId="0" applyFont="1" applyBorder="1" applyAlignment="1">
      <alignment horizontal="centerContinuous"/>
    </xf>
    <xf numFmtId="0" fontId="1" fillId="0" borderId="29" xfId="0" applyFont="1" applyBorder="1" applyAlignment="1">
      <alignment horizontal="centerContinuous"/>
    </xf>
    <xf numFmtId="0" fontId="1" fillId="0" borderId="1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18" xfId="0" applyFont="1" applyBorder="1" applyAlignment="1">
      <alignment horizontal="center"/>
    </xf>
    <xf numFmtId="0" fontId="7" fillId="0" borderId="115" xfId="0" applyFont="1" applyBorder="1" applyAlignment="1">
      <alignment horizontal="center"/>
    </xf>
    <xf numFmtId="0" fontId="1" fillId="0" borderId="197" xfId="0" quotePrefix="1" applyFont="1" applyBorder="1"/>
    <xf numFmtId="0" fontId="1" fillId="0" borderId="98" xfId="0" applyFont="1" applyBorder="1"/>
    <xf numFmtId="0" fontId="1" fillId="0" borderId="197" xfId="0" applyFont="1" applyBorder="1"/>
    <xf numFmtId="0" fontId="1" fillId="0" borderId="99" xfId="0" applyFont="1" applyBorder="1"/>
    <xf numFmtId="181" fontId="1" fillId="0" borderId="197" xfId="0" applyNumberFormat="1" applyFont="1" applyBorder="1" applyAlignment="1">
      <alignment horizontal="center"/>
    </xf>
    <xf numFmtId="181" fontId="1" fillId="0" borderId="198" xfId="0" quotePrefix="1" applyNumberFormat="1" applyFont="1" applyBorder="1" applyAlignment="1">
      <alignment horizontal="center"/>
    </xf>
    <xf numFmtId="181" fontId="1" fillId="0" borderId="98" xfId="0" applyNumberFormat="1" applyFont="1" applyBorder="1" applyAlignment="1">
      <alignment horizontal="center"/>
    </xf>
    <xf numFmtId="181" fontId="1" fillId="0" borderId="198" xfId="0" applyNumberFormat="1" applyFont="1" applyBorder="1" applyAlignment="1">
      <alignment horizontal="center"/>
    </xf>
    <xf numFmtId="0" fontId="1" fillId="0" borderId="199" xfId="0" quotePrefix="1" applyFont="1" applyBorder="1" applyAlignment="1">
      <alignment horizontal="center"/>
    </xf>
    <xf numFmtId="0" fontId="7" fillId="0" borderId="34" xfId="0" applyFont="1" applyBorder="1" applyAlignment="1">
      <alignment horizontal="center"/>
    </xf>
    <xf numFmtId="0" fontId="1" fillId="0" borderId="29" xfId="0" quotePrefix="1" applyFont="1" applyBorder="1"/>
    <xf numFmtId="0" fontId="1" fillId="0" borderId="13" xfId="0" applyFont="1" applyBorder="1"/>
    <xf numFmtId="0" fontId="1" fillId="0" borderId="179" xfId="0" quotePrefix="1" applyFont="1" applyBorder="1" applyAlignment="1">
      <alignment horizontal="center"/>
    </xf>
    <xf numFmtId="0" fontId="1" fillId="0" borderId="29" xfId="0" applyFont="1" applyBorder="1"/>
    <xf numFmtId="0" fontId="1" fillId="0" borderId="179" xfId="0" applyFont="1" applyBorder="1"/>
    <xf numFmtId="181" fontId="1" fillId="0" borderId="29" xfId="0" applyNumberFormat="1" applyFont="1" applyBorder="1" applyAlignment="1">
      <alignment horizontal="center"/>
    </xf>
    <xf numFmtId="181" fontId="1" fillId="0" borderId="29" xfId="0" quotePrefix="1" applyNumberFormat="1" applyFont="1" applyBorder="1" applyAlignment="1">
      <alignment horizontal="center"/>
    </xf>
    <xf numFmtId="181" fontId="1" fillId="0" borderId="30" xfId="0" applyNumberFormat="1" applyFont="1" applyBorder="1" applyAlignment="1">
      <alignment horizontal="center"/>
    </xf>
    <xf numFmtId="0" fontId="1" fillId="0" borderId="118" xfId="0" quotePrefix="1" applyFont="1" applyBorder="1" applyAlignment="1">
      <alignment horizontal="center"/>
    </xf>
    <xf numFmtId="0" fontId="1" fillId="0" borderId="31" xfId="0" applyFont="1" applyBorder="1"/>
    <xf numFmtId="0" fontId="1" fillId="0" borderId="0" xfId="0" quotePrefix="1" applyFont="1" applyBorder="1"/>
    <xf numFmtId="0" fontId="1" fillId="0" borderId="0" xfId="0" applyFont="1" applyBorder="1" applyAlignment="1">
      <alignment horizontal="right"/>
    </xf>
    <xf numFmtId="0" fontId="7" fillId="0" borderId="200" xfId="0" applyFont="1" applyBorder="1" applyAlignment="1">
      <alignment horizontal="center"/>
    </xf>
    <xf numFmtId="0" fontId="7" fillId="0" borderId="0" xfId="0" applyFont="1" applyBorder="1" applyAlignment="1">
      <alignment horizontal="center"/>
    </xf>
    <xf numFmtId="181" fontId="7" fillId="0" borderId="201" xfId="0" applyNumberFormat="1" applyFont="1" applyBorder="1" applyAlignment="1">
      <alignment horizontal="center"/>
    </xf>
    <xf numFmtId="0" fontId="1" fillId="0" borderId="0" xfId="0" quotePrefix="1" applyFont="1" applyBorder="1" applyAlignment="1">
      <alignment horizontal="center"/>
    </xf>
    <xf numFmtId="0" fontId="7" fillId="0" borderId="202" xfId="0" applyFont="1" applyBorder="1"/>
    <xf numFmtId="0" fontId="1" fillId="0" borderId="12" xfId="0" quotePrefix="1" applyFont="1" applyBorder="1" applyAlignment="1">
      <alignment horizontal="center"/>
    </xf>
    <xf numFmtId="0" fontId="1" fillId="0" borderId="81" xfId="0" applyFont="1" applyBorder="1" applyAlignment="1">
      <alignment horizontal="center"/>
    </xf>
    <xf numFmtId="0" fontId="7" fillId="0" borderId="71" xfId="0" applyFont="1" applyBorder="1" applyAlignment="1">
      <alignment horizontal="center"/>
    </xf>
    <xf numFmtId="0" fontId="7" fillId="0" borderId="45" xfId="0" applyFont="1" applyBorder="1" applyAlignment="1">
      <alignment horizontal="center"/>
    </xf>
    <xf numFmtId="0" fontId="1" fillId="0" borderId="7" xfId="0" applyFont="1" applyBorder="1"/>
    <xf numFmtId="0" fontId="1" fillId="0" borderId="6" xfId="0" quotePrefix="1" applyFont="1" applyBorder="1"/>
    <xf numFmtId="0" fontId="1" fillId="0" borderId="6" xfId="0"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7" fillId="0" borderId="203" xfId="0" applyFont="1" applyBorder="1"/>
    <xf numFmtId="0" fontId="7" fillId="0" borderId="182" xfId="0" applyFont="1" applyBorder="1" applyAlignment="1">
      <alignment horizontal="center"/>
    </xf>
    <xf numFmtId="181" fontId="7" fillId="0" borderId="14" xfId="0" quotePrefix="1" applyNumberFormat="1" applyFont="1" applyBorder="1" applyAlignment="1">
      <alignment horizontal="center"/>
    </xf>
    <xf numFmtId="0" fontId="1" fillId="0" borderId="8" xfId="0" quotePrefix="1" applyFont="1" applyBorder="1" applyAlignment="1">
      <alignment horizontal="center"/>
    </xf>
    <xf numFmtId="0" fontId="1" fillId="0" borderId="45" xfId="0" quotePrefix="1" applyFont="1" applyBorder="1" applyAlignment="1">
      <alignment horizontal="center"/>
    </xf>
    <xf numFmtId="0" fontId="1" fillId="0" borderId="20" xfId="0" applyFont="1" applyBorder="1"/>
    <xf numFmtId="0" fontId="1" fillId="0" borderId="204" xfId="0" applyFont="1" applyBorder="1"/>
    <xf numFmtId="0" fontId="7" fillId="0" borderId="205" xfId="0" applyFont="1" applyBorder="1" applyAlignment="1">
      <alignment horizontal="center"/>
    </xf>
    <xf numFmtId="0" fontId="1" fillId="0" borderId="40" xfId="0" applyFont="1" applyBorder="1"/>
    <xf numFmtId="0" fontId="7" fillId="0" borderId="34" xfId="0" applyFont="1" applyBorder="1" applyAlignment="1">
      <alignment horizontal="centerContinuous"/>
    </xf>
    <xf numFmtId="0" fontId="1" fillId="0" borderId="13" xfId="0" applyFont="1" applyBorder="1" applyAlignment="1"/>
    <xf numFmtId="0" fontId="7" fillId="0" borderId="29" xfId="0" applyFont="1" applyBorder="1" applyAlignment="1">
      <alignment horizontal="centerContinuous"/>
    </xf>
    <xf numFmtId="0" fontId="7" fillId="0" borderId="204" xfId="0" applyFont="1" applyBorder="1"/>
    <xf numFmtId="0" fontId="7" fillId="0" borderId="85" xfId="0" applyFont="1" applyBorder="1"/>
    <xf numFmtId="0" fontId="7" fillId="0" borderId="206" xfId="0" applyFont="1" applyBorder="1" applyAlignment="1">
      <alignment horizontal="center"/>
    </xf>
    <xf numFmtId="0" fontId="7" fillId="0" borderId="53" xfId="0" applyFont="1" applyBorder="1" applyAlignment="1"/>
    <xf numFmtId="0" fontId="7" fillId="0" borderId="8" xfId="0" applyFont="1" applyBorder="1" applyAlignment="1">
      <alignment horizontal="center"/>
    </xf>
    <xf numFmtId="0" fontId="7" fillId="0" borderId="29" xfId="0" applyFont="1" applyBorder="1" applyAlignment="1">
      <alignment horizontal="center"/>
    </xf>
    <xf numFmtId="0" fontId="7" fillId="0" borderId="207" xfId="0" applyFont="1" applyBorder="1" applyAlignment="1">
      <alignment horizontal="center"/>
    </xf>
    <xf numFmtId="0" fontId="7" fillId="0" borderId="30" xfId="0" applyFont="1" applyBorder="1" applyAlignment="1">
      <alignment horizontal="center"/>
    </xf>
    <xf numFmtId="0" fontId="7" fillId="0" borderId="89" xfId="0" applyFont="1" applyBorder="1" applyAlignment="1">
      <alignment horizontal="center"/>
    </xf>
    <xf numFmtId="0" fontId="1" fillId="0" borderId="208" xfId="0" quotePrefix="1" applyFont="1" applyBorder="1" applyAlignment="1">
      <alignment horizontal="center"/>
    </xf>
    <xf numFmtId="0" fontId="1" fillId="0" borderId="209" xfId="0" quotePrefix="1" applyFont="1" applyBorder="1"/>
    <xf numFmtId="0" fontId="1" fillId="0" borderId="209" xfId="0" applyFont="1" applyBorder="1" applyAlignment="1">
      <alignment horizontal="center"/>
    </xf>
    <xf numFmtId="0" fontId="1" fillId="0" borderId="97" xfId="0" quotePrefix="1" applyFont="1" applyBorder="1" applyAlignment="1">
      <alignment horizontal="center"/>
    </xf>
    <xf numFmtId="0" fontId="1" fillId="0" borderId="210" xfId="0" applyFont="1" applyBorder="1"/>
    <xf numFmtId="0" fontId="1" fillId="0" borderId="97" xfId="0" applyFont="1" applyBorder="1"/>
    <xf numFmtId="0" fontId="1" fillId="0" borderId="209" xfId="0" quotePrefix="1" applyFont="1" applyBorder="1" applyAlignment="1">
      <alignment horizontal="center"/>
    </xf>
    <xf numFmtId="2" fontId="1" fillId="0" borderId="211" xfId="0" applyNumberFormat="1" applyFont="1" applyBorder="1" applyAlignment="1">
      <alignment horizontal="center"/>
    </xf>
    <xf numFmtId="0" fontId="1" fillId="0" borderId="96" xfId="0" applyFont="1" applyBorder="1" applyAlignment="1">
      <alignment horizontal="center"/>
    </xf>
    <xf numFmtId="181" fontId="1" fillId="0" borderId="212" xfId="0" quotePrefix="1" applyNumberFormat="1" applyFont="1" applyBorder="1" applyAlignment="1">
      <alignment horizontal="center"/>
    </xf>
    <xf numFmtId="0" fontId="1" fillId="0" borderId="34" xfId="0" quotePrefix="1" applyFont="1" applyBorder="1" applyAlignment="1">
      <alignment horizontal="center"/>
    </xf>
    <xf numFmtId="0" fontId="1" fillId="0" borderId="29" xfId="0" quotePrefix="1" applyFont="1" applyBorder="1" applyAlignment="1">
      <alignment horizontal="center"/>
    </xf>
    <xf numFmtId="0" fontId="1" fillId="0" borderId="179" xfId="0" applyFont="1" applyBorder="1" applyAlignment="1">
      <alignment horizontal="right"/>
    </xf>
    <xf numFmtId="0" fontId="1" fillId="0" borderId="29" xfId="0" quotePrefix="1" applyFont="1" applyBorder="1" applyAlignment="1"/>
    <xf numFmtId="2" fontId="1" fillId="0" borderId="213" xfId="0" applyNumberFormat="1" applyFont="1" applyBorder="1" applyAlignment="1">
      <alignment horizontal="center"/>
    </xf>
    <xf numFmtId="181" fontId="1" fillId="0" borderId="118" xfId="0" applyNumberFormat="1" applyFont="1" applyBorder="1" applyAlignment="1">
      <alignment horizontal="center"/>
    </xf>
    <xf numFmtId="0" fontId="1" fillId="13" borderId="80" xfId="0" applyFont="1" applyFill="1" applyBorder="1"/>
    <xf numFmtId="0" fontId="1" fillId="13" borderId="1" xfId="0" applyFont="1" applyFill="1" applyBorder="1"/>
    <xf numFmtId="0" fontId="7" fillId="13" borderId="1" xfId="0" applyFont="1" applyFill="1" applyBorder="1"/>
    <xf numFmtId="0" fontId="7" fillId="0" borderId="214" xfId="0" applyFont="1" applyBorder="1" applyAlignment="1">
      <alignment horizontal="center"/>
    </xf>
    <xf numFmtId="2" fontId="7" fillId="0" borderId="215" xfId="0" applyNumberFormat="1" applyFont="1" applyBorder="1" applyAlignment="1">
      <alignment horizontal="center"/>
    </xf>
    <xf numFmtId="0" fontId="7" fillId="0" borderId="74" xfId="0" applyFont="1" applyBorder="1" applyAlignment="1">
      <alignment horizontal="center"/>
    </xf>
    <xf numFmtId="181" fontId="7" fillId="0" borderId="140" xfId="0" applyNumberFormat="1" applyFont="1" applyBorder="1" applyAlignment="1">
      <alignment horizontal="center"/>
    </xf>
    <xf numFmtId="0" fontId="1" fillId="0" borderId="102" xfId="0" applyFont="1" applyBorder="1"/>
    <xf numFmtId="0" fontId="7" fillId="0" borderId="21" xfId="0" applyFont="1" applyFill="1" applyBorder="1"/>
    <xf numFmtId="0" fontId="1" fillId="0" borderId="45" xfId="0" applyFont="1" applyBorder="1"/>
    <xf numFmtId="0" fontId="1" fillId="0" borderId="179" xfId="0" applyFont="1" applyBorder="1" applyAlignment="1">
      <alignment horizontal="centerContinuous"/>
    </xf>
    <xf numFmtId="0" fontId="7" fillId="0" borderId="53" xfId="0" applyFont="1" applyBorder="1"/>
    <xf numFmtId="0" fontId="1" fillId="0" borderId="54" xfId="0" applyFont="1" applyBorder="1"/>
    <xf numFmtId="0" fontId="1" fillId="0" borderId="45" xfId="0" applyFont="1" applyBorder="1" applyAlignment="1"/>
    <xf numFmtId="0" fontId="7" fillId="0" borderId="29" xfId="0" applyFont="1" applyFill="1" applyBorder="1" applyAlignment="1"/>
    <xf numFmtId="0" fontId="1" fillId="0" borderId="179" xfId="0" applyFont="1" applyFill="1" applyBorder="1"/>
    <xf numFmtId="0" fontId="7" fillId="0" borderId="13" xfId="0" applyFont="1" applyBorder="1" applyAlignment="1">
      <alignment horizontal="centerContinuous"/>
    </xf>
    <xf numFmtId="0" fontId="7" fillId="0" borderId="29" xfId="0" applyFont="1" applyBorder="1"/>
    <xf numFmtId="0" fontId="7" fillId="0" borderId="13" xfId="0" applyFont="1" applyBorder="1"/>
    <xf numFmtId="0" fontId="7" fillId="0" borderId="13" xfId="0" applyFont="1" applyBorder="1" applyAlignment="1">
      <alignment horizontal="center"/>
    </xf>
    <xf numFmtId="0" fontId="1" fillId="0" borderId="89" xfId="0" applyFont="1" applyBorder="1" applyAlignment="1"/>
    <xf numFmtId="1" fontId="1" fillId="0" borderId="115" xfId="0" applyNumberFormat="1" applyFont="1" applyFill="1" applyBorder="1" applyAlignment="1">
      <alignment horizontal="center"/>
    </xf>
    <xf numFmtId="0" fontId="1" fillId="13" borderId="197" xfId="0" applyFont="1" applyFill="1" applyBorder="1" applyAlignment="1">
      <alignment horizontal="centerContinuous"/>
    </xf>
    <xf numFmtId="0" fontId="1" fillId="13" borderId="99" xfId="0" applyFont="1" applyFill="1" applyBorder="1" applyAlignment="1">
      <alignment horizontal="centerContinuous"/>
    </xf>
    <xf numFmtId="170" fontId="1" fillId="0" borderId="197" xfId="0" applyNumberFormat="1" applyFont="1" applyBorder="1"/>
    <xf numFmtId="0" fontId="1" fillId="0" borderId="98" xfId="0" quotePrefix="1" applyFont="1" applyBorder="1"/>
    <xf numFmtId="4" fontId="1" fillId="0" borderId="197" xfId="0" applyNumberFormat="1" applyFont="1" applyBorder="1"/>
    <xf numFmtId="0" fontId="7" fillId="0" borderId="24" xfId="0" applyFont="1" applyBorder="1" applyAlignment="1">
      <alignment horizontal="center"/>
    </xf>
    <xf numFmtId="0" fontId="7" fillId="0" borderId="131" xfId="0" applyFont="1" applyBorder="1" applyAlignment="1">
      <alignment horizontal="center"/>
    </xf>
    <xf numFmtId="0" fontId="1" fillId="0" borderId="114" xfId="0" applyFont="1" applyBorder="1" applyAlignment="1">
      <alignment horizontal="center"/>
    </xf>
    <xf numFmtId="0" fontId="1" fillId="0" borderId="209" xfId="0" applyFont="1" applyFill="1" applyBorder="1" applyAlignment="1"/>
    <xf numFmtId="0" fontId="1" fillId="0" borderId="97" xfId="0" applyFont="1" applyFill="1" applyBorder="1" applyAlignment="1">
      <alignment horizontal="center"/>
    </xf>
    <xf numFmtId="170" fontId="1" fillId="0" borderId="96" xfId="0" applyNumberFormat="1" applyFont="1" applyBorder="1"/>
    <xf numFmtId="0" fontId="1" fillId="0" borderId="96" xfId="0" quotePrefix="1" applyFont="1" applyBorder="1"/>
    <xf numFmtId="4" fontId="1" fillId="0" borderId="209" xfId="0" applyNumberFormat="1" applyFont="1" applyBorder="1"/>
    <xf numFmtId="0" fontId="7" fillId="0" borderId="118" xfId="0" applyFont="1" applyBorder="1" applyAlignment="1">
      <alignment horizontal="center"/>
    </xf>
    <xf numFmtId="0" fontId="1" fillId="13" borderId="105" xfId="0" applyFont="1" applyFill="1" applyBorder="1"/>
    <xf numFmtId="181" fontId="1" fillId="0" borderId="216" xfId="0" applyNumberFormat="1" applyFont="1" applyBorder="1"/>
    <xf numFmtId="0" fontId="1" fillId="0" borderId="93" xfId="0" applyFont="1" applyBorder="1"/>
    <xf numFmtId="170" fontId="1" fillId="0" borderId="92" xfId="0" applyNumberFormat="1" applyFont="1" applyBorder="1"/>
    <xf numFmtId="0" fontId="1" fillId="0" borderId="92" xfId="0" quotePrefix="1" applyFont="1" applyBorder="1"/>
    <xf numFmtId="4" fontId="1" fillId="0" borderId="216" xfId="0" applyNumberFormat="1" applyFont="1" applyBorder="1"/>
    <xf numFmtId="181" fontId="7" fillId="0" borderId="47" xfId="0" applyNumberFormat="1" applyFont="1" applyBorder="1"/>
    <xf numFmtId="1" fontId="1" fillId="0" borderId="24" xfId="0" applyNumberFormat="1" applyFont="1" applyBorder="1"/>
    <xf numFmtId="181" fontId="1" fillId="0" borderId="47" xfId="0" applyNumberFormat="1" applyFont="1" applyBorder="1"/>
    <xf numFmtId="181" fontId="1" fillId="0" borderId="24" xfId="0" applyNumberFormat="1" applyFont="1" applyBorder="1"/>
    <xf numFmtId="4" fontId="1" fillId="0" borderId="47" xfId="0" applyNumberFormat="1" applyFont="1" applyBorder="1"/>
    <xf numFmtId="170" fontId="1" fillId="0" borderId="76" xfId="0" applyNumberFormat="1" applyFont="1" applyBorder="1" applyAlignment="1"/>
    <xf numFmtId="0" fontId="1" fillId="0" borderId="34" xfId="0" applyFont="1" applyFill="1" applyBorder="1"/>
    <xf numFmtId="181" fontId="1" fillId="0" borderId="29" xfId="0" applyNumberFormat="1" applyFont="1" applyBorder="1" applyAlignment="1">
      <alignment horizontal="right"/>
    </xf>
    <xf numFmtId="170" fontId="1" fillId="0" borderId="29" xfId="0" applyNumberFormat="1" applyFont="1" applyBorder="1"/>
    <xf numFmtId="0" fontId="1" fillId="0" borderId="13" xfId="0" quotePrefix="1" applyFont="1" applyBorder="1"/>
    <xf numFmtId="4" fontId="1" fillId="0" borderId="29" xfId="0" applyNumberFormat="1" applyFont="1" applyBorder="1"/>
    <xf numFmtId="1" fontId="1" fillId="0" borderId="30" xfId="0" applyNumberFormat="1" applyFont="1" applyBorder="1" applyAlignment="1">
      <alignment horizontal="center"/>
    </xf>
    <xf numFmtId="4" fontId="1" fillId="0" borderId="29" xfId="0" applyNumberFormat="1" applyFont="1" applyBorder="1" applyAlignment="1">
      <alignment horizontal="center"/>
    </xf>
    <xf numFmtId="4" fontId="1" fillId="0" borderId="118" xfId="0" applyNumberFormat="1" applyFont="1" applyBorder="1" applyAlignment="1">
      <alignment horizontal="center"/>
    </xf>
    <xf numFmtId="0" fontId="1" fillId="13" borderId="7" xfId="0" applyFont="1" applyFill="1" applyBorder="1"/>
    <xf numFmtId="0" fontId="1" fillId="13" borderId="6" xfId="0" applyFont="1" applyFill="1" applyBorder="1"/>
    <xf numFmtId="0" fontId="7" fillId="0" borderId="175" xfId="0" applyFont="1" applyBorder="1"/>
    <xf numFmtId="0" fontId="1" fillId="0" borderId="1" xfId="0" applyFont="1" applyBorder="1"/>
    <xf numFmtId="4" fontId="7" fillId="0" borderId="175" xfId="0" applyNumberFormat="1" applyFont="1" applyBorder="1"/>
    <xf numFmtId="0" fontId="1" fillId="0" borderId="183" xfId="0" applyFont="1" applyBorder="1"/>
    <xf numFmtId="0" fontId="1" fillId="13" borderId="175" xfId="0" applyFont="1" applyFill="1" applyBorder="1"/>
    <xf numFmtId="4" fontId="7" fillId="0" borderId="145"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31" xfId="0" applyFont="1" applyBorder="1" applyAlignment="1">
      <alignment horizontal="center"/>
    </xf>
    <xf numFmtId="0" fontId="7" fillId="0" borderId="47" xfId="0" applyFont="1" applyBorder="1"/>
    <xf numFmtId="0" fontId="1" fillId="0" borderId="32" xfId="0" applyFont="1" applyBorder="1"/>
    <xf numFmtId="0" fontId="1" fillId="0" borderId="33" xfId="0" applyFont="1" applyBorder="1"/>
    <xf numFmtId="0" fontId="7" fillId="0" borderId="47" xfId="0" applyFont="1" applyBorder="1" applyAlignment="1">
      <alignment horizontal="center"/>
    </xf>
    <xf numFmtId="0" fontId="7" fillId="0" borderId="53" xfId="0" applyFont="1" applyBorder="1" applyAlignment="1">
      <alignment horizontal="centerContinuous"/>
    </xf>
    <xf numFmtId="0" fontId="7" fillId="0" borderId="76" xfId="0" applyFont="1" applyBorder="1" applyAlignment="1">
      <alignment horizontal="center"/>
    </xf>
    <xf numFmtId="0" fontId="7" fillId="0" borderId="29" xfId="0" applyFont="1" applyBorder="1" applyAlignment="1"/>
    <xf numFmtId="0" fontId="1" fillId="0" borderId="22" xfId="0" applyFont="1" applyBorder="1"/>
    <xf numFmtId="1" fontId="1" fillId="0" borderId="47" xfId="0" applyNumberFormat="1" applyFont="1" applyBorder="1"/>
    <xf numFmtId="0" fontId="7" fillId="0" borderId="24" xfId="0" applyFont="1" applyBorder="1" applyAlignment="1"/>
    <xf numFmtId="0" fontId="1" fillId="0" borderId="24" xfId="0" applyFont="1" applyBorder="1"/>
    <xf numFmtId="4" fontId="1" fillId="0" borderId="76" xfId="0" applyNumberFormat="1" applyFont="1" applyBorder="1"/>
    <xf numFmtId="0" fontId="1" fillId="0" borderId="114" xfId="0" applyFont="1" applyBorder="1"/>
    <xf numFmtId="0" fontId="1" fillId="0" borderId="209" xfId="0" applyFont="1" applyBorder="1"/>
    <xf numFmtId="1" fontId="1" fillId="0" borderId="209" xfId="0" applyNumberFormat="1" applyFont="1" applyBorder="1"/>
    <xf numFmtId="0" fontId="1" fillId="0" borderId="217" xfId="0" applyFont="1" applyBorder="1" applyAlignment="1">
      <alignment horizontal="right"/>
    </xf>
    <xf numFmtId="9" fontId="1" fillId="0" borderId="217" xfId="0" applyNumberFormat="1" applyFont="1" applyBorder="1" applyAlignment="1">
      <alignment horizontal="center"/>
    </xf>
    <xf numFmtId="170" fontId="1" fillId="0" borderId="209" xfId="0" applyNumberFormat="1" applyFont="1" applyBorder="1"/>
    <xf numFmtId="4" fontId="1" fillId="0" borderId="212" xfId="0" applyNumberFormat="1" applyFont="1" applyBorder="1" applyAlignment="1"/>
    <xf numFmtId="0" fontId="1" fillId="0" borderId="34" xfId="0" applyFont="1" applyBorder="1"/>
    <xf numFmtId="1" fontId="1" fillId="0" borderId="29" xfId="0" applyNumberFormat="1" applyFont="1" applyBorder="1"/>
    <xf numFmtId="0" fontId="1" fillId="0" borderId="52" xfId="0" applyFont="1" applyBorder="1" applyAlignment="1">
      <alignment horizontal="right"/>
    </xf>
    <xf numFmtId="0" fontId="1" fillId="0" borderId="52" xfId="0" applyFont="1" applyBorder="1"/>
    <xf numFmtId="2" fontId="1" fillId="0" borderId="53" xfId="0" applyNumberFormat="1" applyFont="1" applyBorder="1"/>
    <xf numFmtId="4" fontId="1" fillId="0" borderId="131" xfId="0" applyNumberFormat="1" applyFont="1" applyBorder="1" applyAlignment="1"/>
    <xf numFmtId="181" fontId="1" fillId="13" borderId="6" xfId="0" applyNumberFormat="1" applyFont="1" applyFill="1" applyBorder="1"/>
    <xf numFmtId="0" fontId="1" fillId="13" borderId="6" xfId="0" applyFont="1" applyFill="1" applyBorder="1" applyAlignment="1">
      <alignment horizontal="center"/>
    </xf>
    <xf numFmtId="4" fontId="7" fillId="0" borderId="145" xfId="0" applyNumberFormat="1" applyFont="1" applyBorder="1" applyAlignment="1"/>
    <xf numFmtId="182" fontId="7" fillId="0" borderId="7" xfId="0" applyNumberFormat="1" applyFont="1" applyBorder="1"/>
    <xf numFmtId="182" fontId="120" fillId="0" borderId="6" xfId="0" applyNumberFormat="1" applyFont="1" applyBorder="1"/>
    <xf numFmtId="182" fontId="1" fillId="0" borderId="6" xfId="0" applyNumberFormat="1" applyFont="1" applyBorder="1"/>
    <xf numFmtId="182" fontId="7" fillId="0" borderId="178" xfId="0" applyNumberFormat="1" applyFont="1" applyBorder="1" applyAlignment="1">
      <alignment horizontal="centerContinuous"/>
    </xf>
    <xf numFmtId="182" fontId="7" fillId="0" borderId="86" xfId="0" applyNumberFormat="1" applyFont="1" applyBorder="1" applyAlignment="1">
      <alignment horizontal="centerContinuous"/>
    </xf>
    <xf numFmtId="182" fontId="1" fillId="0" borderId="86" xfId="0" applyNumberFormat="1" applyFont="1" applyBorder="1"/>
    <xf numFmtId="182" fontId="7" fillId="0" borderId="86" xfId="0" applyNumberFormat="1" applyFont="1" applyBorder="1"/>
    <xf numFmtId="182" fontId="1" fillId="0" borderId="218" xfId="0" applyNumberFormat="1" applyFont="1" applyBorder="1"/>
    <xf numFmtId="0" fontId="1" fillId="0" borderId="70" xfId="0" applyFont="1" applyBorder="1"/>
    <xf numFmtId="182" fontId="7" fillId="0" borderId="148" xfId="0" applyNumberFormat="1" applyFont="1" applyBorder="1" applyAlignment="1">
      <alignment horizontal="center"/>
    </xf>
    <xf numFmtId="182" fontId="1" fillId="0" borderId="34" xfId="0" applyNumberFormat="1" applyFont="1" applyBorder="1"/>
    <xf numFmtId="182" fontId="1" fillId="0" borderId="13" xfId="0" applyNumberFormat="1" applyFont="1" applyBorder="1"/>
    <xf numFmtId="182" fontId="1" fillId="0" borderId="29" xfId="0" applyNumberFormat="1" applyFont="1" applyBorder="1"/>
    <xf numFmtId="182" fontId="1" fillId="0" borderId="179" xfId="0" applyNumberFormat="1" applyFont="1" applyBorder="1"/>
    <xf numFmtId="182" fontId="1" fillId="0" borderId="219" xfId="0" applyNumberFormat="1" applyFont="1" applyBorder="1"/>
    <xf numFmtId="182" fontId="1" fillId="0" borderId="79" xfId="0" applyNumberFormat="1" applyFont="1" applyBorder="1"/>
    <xf numFmtId="182" fontId="1" fillId="0" borderId="220" xfId="0" applyNumberFormat="1" applyFont="1" applyBorder="1"/>
    <xf numFmtId="0" fontId="1" fillId="0" borderId="79" xfId="0" applyFont="1" applyBorder="1"/>
    <xf numFmtId="0" fontId="1" fillId="0" borderId="220" xfId="0" applyFont="1" applyBorder="1"/>
    <xf numFmtId="182" fontId="1" fillId="0" borderId="118" xfId="0" applyNumberFormat="1" applyFont="1" applyBorder="1"/>
    <xf numFmtId="182" fontId="1" fillId="0" borderId="7" xfId="0" quotePrefix="1" applyNumberFormat="1" applyFont="1" applyBorder="1"/>
    <xf numFmtId="182" fontId="1" fillId="0" borderId="6" xfId="0" quotePrefix="1" applyNumberFormat="1" applyFont="1" applyBorder="1"/>
    <xf numFmtId="182" fontId="1" fillId="0" borderId="184" xfId="0" applyNumberFormat="1" applyFont="1" applyBorder="1"/>
    <xf numFmtId="182" fontId="1" fillId="0" borderId="44" xfId="0" applyNumberFormat="1" applyFont="1" applyBorder="1"/>
    <xf numFmtId="182" fontId="1" fillId="0" borderId="175" xfId="0" applyNumberFormat="1" applyFont="1" applyBorder="1"/>
    <xf numFmtId="170" fontId="1" fillId="0" borderId="75" xfId="0" applyNumberFormat="1" applyFont="1" applyBorder="1" applyAlignment="1">
      <alignment horizontal="center"/>
    </xf>
    <xf numFmtId="0" fontId="7" fillId="0" borderId="34" xfId="0" applyFont="1" applyBorder="1"/>
    <xf numFmtId="0" fontId="1" fillId="0" borderId="89" xfId="0" applyFont="1" applyBorder="1"/>
    <xf numFmtId="0" fontId="7" fillId="0" borderId="19" xfId="0" applyFont="1" applyBorder="1" applyAlignment="1">
      <alignment horizontal="center"/>
    </xf>
    <xf numFmtId="0" fontId="1" fillId="0" borderId="0" xfId="0" applyFont="1" applyAlignment="1"/>
    <xf numFmtId="0" fontId="1" fillId="0" borderId="131" xfId="0" applyFont="1" applyBorder="1"/>
    <xf numFmtId="15" fontId="1" fillId="0" borderId="34" xfId="0" applyNumberFormat="1" applyFont="1" applyBorder="1" applyAlignment="1">
      <alignment horizontal="centerContinuous"/>
    </xf>
    <xf numFmtId="170" fontId="7" fillId="0" borderId="118" xfId="0" applyNumberFormat="1" applyFont="1" applyBorder="1" applyAlignment="1">
      <alignment horizontal="center"/>
    </xf>
    <xf numFmtId="0" fontId="7" fillId="0" borderId="20" xfId="0" applyFont="1" applyBorder="1" applyAlignment="1">
      <alignment horizontal="centerContinuous"/>
    </xf>
    <xf numFmtId="0" fontId="1" fillId="0" borderId="21" xfId="0" applyFont="1" applyBorder="1" applyAlignment="1">
      <alignment horizontal="centerContinuous"/>
    </xf>
    <xf numFmtId="0" fontId="121" fillId="0" borderId="32" xfId="0" applyFont="1" applyBorder="1" applyAlignment="1">
      <alignment horizontal="centerContinuous"/>
    </xf>
    <xf numFmtId="0" fontId="121" fillId="0" borderId="13" xfId="0" applyFont="1" applyBorder="1"/>
    <xf numFmtId="0" fontId="1" fillId="0" borderId="209" xfId="0" applyFont="1" applyBorder="1" applyAlignment="1">
      <alignment horizontal="centerContinuous"/>
    </xf>
    <xf numFmtId="0" fontId="1" fillId="0" borderId="96" xfId="0" applyFont="1" applyBorder="1" applyAlignment="1">
      <alignment horizontal="centerContinuous"/>
    </xf>
    <xf numFmtId="0" fontId="7" fillId="0" borderId="198" xfId="0" applyFont="1" applyBorder="1" applyAlignment="1">
      <alignment horizontal="center"/>
    </xf>
    <xf numFmtId="170" fontId="7" fillId="0" borderId="212" xfId="0" applyNumberFormat="1" applyFont="1" applyBorder="1" applyAlignment="1">
      <alignment horizontal="center"/>
    </xf>
    <xf numFmtId="0" fontId="1" fillId="0" borderId="34" xfId="0" applyFont="1" applyBorder="1" applyAlignment="1">
      <alignment horizontal="center"/>
    </xf>
    <xf numFmtId="0" fontId="120" fillId="0" borderId="29" xfId="0" applyFont="1" applyBorder="1" applyAlignment="1"/>
    <xf numFmtId="0" fontId="7" fillId="0" borderId="13" xfId="0" applyFont="1" applyBorder="1" applyAlignment="1"/>
    <xf numFmtId="170" fontId="1" fillId="0" borderId="118" xfId="0" applyNumberFormat="1" applyFont="1" applyBorder="1" applyAlignment="1">
      <alignment horizontal="center"/>
    </xf>
    <xf numFmtId="0" fontId="1" fillId="13" borderId="2" xfId="0" applyFont="1" applyFill="1" applyBorder="1"/>
    <xf numFmtId="0" fontId="1" fillId="13" borderId="0" xfId="0" applyFont="1" applyFill="1" applyBorder="1"/>
    <xf numFmtId="0" fontId="1" fillId="13" borderId="0" xfId="0" applyFont="1" applyFill="1"/>
    <xf numFmtId="0" fontId="7" fillId="0" borderId="85" xfId="0" applyFont="1" applyBorder="1" applyAlignment="1"/>
    <xf numFmtId="170" fontId="7" fillId="0" borderId="42" xfId="0" applyNumberFormat="1" applyFont="1" applyBorder="1" applyAlignment="1">
      <alignment horizontal="center"/>
    </xf>
    <xf numFmtId="0" fontId="7" fillId="13" borderId="6" xfId="0" applyFont="1" applyFill="1" applyBorder="1"/>
    <xf numFmtId="0" fontId="7" fillId="0" borderId="184" xfId="0" applyFont="1" applyBorder="1"/>
    <xf numFmtId="4" fontId="7" fillId="0" borderId="75" xfId="0" applyNumberFormat="1" applyFont="1" applyBorder="1" applyAlignment="1">
      <alignment horizontal="center"/>
    </xf>
    <xf numFmtId="0" fontId="122" fillId="0" borderId="0" xfId="0" applyFont="1" applyAlignment="1">
      <alignment horizontal="left" vertical="center" indent="1"/>
    </xf>
    <xf numFmtId="0" fontId="124" fillId="0" borderId="0" xfId="0" applyFont="1" applyAlignment="1">
      <alignment horizontal="left" vertical="center" indent="1"/>
    </xf>
    <xf numFmtId="0" fontId="89" fillId="0" borderId="0" xfId="0" applyFont="1" applyAlignment="1">
      <alignment horizontal="justify" vertical="center"/>
    </xf>
    <xf numFmtId="0" fontId="119" fillId="0" borderId="0" xfId="0" applyFont="1"/>
    <xf numFmtId="0" fontId="14" fillId="0" borderId="9" xfId="0" applyFont="1" applyBorder="1"/>
    <xf numFmtId="0" fontId="14" fillId="0" borderId="2" xfId="0" applyFont="1" applyBorder="1"/>
    <xf numFmtId="0" fontId="15" fillId="0" borderId="0" xfId="0" applyFont="1" applyBorder="1"/>
    <xf numFmtId="0" fontId="1" fillId="0" borderId="8" xfId="0" applyFont="1" applyFill="1" applyBorder="1"/>
    <xf numFmtId="0" fontId="7" fillId="0" borderId="0" xfId="0" applyFont="1" applyBorder="1" applyAlignment="1">
      <alignment horizontal="right"/>
    </xf>
    <xf numFmtId="180" fontId="7" fillId="0" borderId="96" xfId="0" applyNumberFormat="1" applyFont="1" applyBorder="1" applyAlignment="1">
      <alignment horizontal="left"/>
    </xf>
    <xf numFmtId="176" fontId="1" fillId="0" borderId="196" xfId="0" quotePrefix="1" applyNumberFormat="1" applyFont="1" applyBorder="1" applyAlignment="1">
      <alignment horizontal="center"/>
    </xf>
    <xf numFmtId="0" fontId="1" fillId="0" borderId="221" xfId="0" applyFont="1" applyBorder="1"/>
    <xf numFmtId="0" fontId="1" fillId="0" borderId="96" xfId="0" applyFont="1" applyBorder="1" applyAlignment="1">
      <alignment vertical="center"/>
    </xf>
    <xf numFmtId="0" fontId="1" fillId="0" borderId="92" xfId="0" applyFont="1" applyBorder="1"/>
    <xf numFmtId="0" fontId="1" fillId="0" borderId="222" xfId="0" applyFont="1" applyBorder="1"/>
    <xf numFmtId="0" fontId="7" fillId="0" borderId="92" xfId="0" applyFont="1" applyBorder="1"/>
    <xf numFmtId="177" fontId="1" fillId="0" borderId="159" xfId="0" applyNumberFormat="1" applyFont="1" applyBorder="1" applyAlignment="1">
      <alignment horizontal="center"/>
    </xf>
    <xf numFmtId="0" fontId="1" fillId="0" borderId="159" xfId="0" applyFont="1" applyBorder="1"/>
    <xf numFmtId="49" fontId="1" fillId="0" borderId="0" xfId="0" applyNumberFormat="1" applyFont="1" applyBorder="1"/>
    <xf numFmtId="0" fontId="7" fillId="0" borderId="96" xfId="0" applyFont="1" applyFill="1" applyBorder="1"/>
    <xf numFmtId="0" fontId="1" fillId="0" borderId="96" xfId="0" applyFont="1" applyFill="1" applyBorder="1"/>
    <xf numFmtId="0" fontId="1" fillId="0" borderId="196" xfId="0" applyFont="1" applyBorder="1"/>
    <xf numFmtId="49" fontId="1" fillId="0" borderId="8" xfId="0" applyNumberFormat="1" applyFont="1" applyBorder="1" applyAlignment="1">
      <alignment horizontal="center"/>
    </xf>
    <xf numFmtId="49" fontId="1" fillId="0" borderId="0" xfId="0" applyNumberFormat="1" applyFont="1"/>
    <xf numFmtId="49" fontId="1" fillId="0" borderId="96" xfId="0" applyNumberFormat="1" applyFont="1" applyBorder="1" applyAlignment="1"/>
    <xf numFmtId="0" fontId="15" fillId="0" borderId="2" xfId="0" quotePrefix="1" applyFont="1" applyBorder="1" applyAlignment="1">
      <alignment horizontal="center"/>
    </xf>
    <xf numFmtId="0" fontId="1" fillId="0" borderId="76" xfId="0" applyFont="1" applyBorder="1"/>
    <xf numFmtId="170" fontId="1" fillId="0" borderId="212" xfId="0" applyNumberFormat="1" applyFont="1" applyBorder="1"/>
    <xf numFmtId="44" fontId="1" fillId="0" borderId="131" xfId="0" applyNumberFormat="1" applyFont="1" applyBorder="1"/>
    <xf numFmtId="0" fontId="7" fillId="0" borderId="66" xfId="0" applyFont="1" applyBorder="1" applyAlignment="1">
      <alignment horizontal="center"/>
    </xf>
    <xf numFmtId="0" fontId="1" fillId="0" borderId="66" xfId="0" applyFont="1" applyBorder="1"/>
    <xf numFmtId="44" fontId="1" fillId="0" borderId="198" xfId="0" applyNumberFormat="1" applyFont="1" applyBorder="1"/>
    <xf numFmtId="170" fontId="1" fillId="0" borderId="131" xfId="0" applyNumberFormat="1" applyFont="1" applyBorder="1"/>
    <xf numFmtId="170" fontId="1" fillId="0" borderId="217" xfId="0" applyNumberFormat="1" applyFont="1" applyBorder="1"/>
    <xf numFmtId="170" fontId="1" fillId="0" borderId="223" xfId="0" applyNumberFormat="1" applyFont="1" applyBorder="1"/>
    <xf numFmtId="170" fontId="1" fillId="0" borderId="52" xfId="0" applyNumberFormat="1" applyFont="1" applyBorder="1"/>
    <xf numFmtId="170" fontId="1" fillId="0" borderId="224" xfId="0" applyNumberFormat="1" applyFont="1" applyBorder="1"/>
    <xf numFmtId="0" fontId="7" fillId="0" borderId="2" xfId="0" applyFont="1" applyBorder="1" applyAlignment="1">
      <alignment horizontal="right"/>
    </xf>
    <xf numFmtId="170" fontId="7" fillId="0" borderId="225" xfId="0" applyNumberFormat="1" applyFont="1" applyBorder="1"/>
    <xf numFmtId="170" fontId="7" fillId="0" borderId="163" xfId="0" applyNumberFormat="1" applyFont="1" applyBorder="1"/>
    <xf numFmtId="0" fontId="1" fillId="0" borderId="12" xfId="0" applyFont="1" applyBorder="1"/>
    <xf numFmtId="0" fontId="7" fillId="0" borderId="47" xfId="0" applyFont="1" applyBorder="1" applyAlignment="1">
      <alignment vertical="center" wrapText="1"/>
    </xf>
    <xf numFmtId="0" fontId="7" fillId="0" borderId="5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54" xfId="0" applyFont="1" applyFill="1" applyBorder="1" applyAlignment="1">
      <alignment horizontal="left"/>
    </xf>
    <xf numFmtId="0" fontId="7" fillId="0" borderId="0" xfId="0" applyFont="1" applyFill="1" applyBorder="1"/>
    <xf numFmtId="170" fontId="7" fillId="0" borderId="225" xfId="0" applyNumberFormat="1" applyFont="1" applyBorder="1" applyAlignment="1">
      <alignment vertical="center"/>
    </xf>
    <xf numFmtId="0" fontId="14" fillId="0" borderId="66" xfId="0" applyFont="1" applyBorder="1"/>
    <xf numFmtId="170" fontId="1" fillId="0" borderId="198" xfId="0" applyNumberFormat="1" applyFont="1" applyBorder="1"/>
    <xf numFmtId="0" fontId="1" fillId="0" borderId="54" xfId="0" applyFont="1" applyFill="1" applyBorder="1"/>
    <xf numFmtId="170" fontId="1" fillId="0" borderId="225" xfId="0" applyNumberFormat="1" applyFont="1" applyBorder="1"/>
    <xf numFmtId="0" fontId="15" fillId="0" borderId="66"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0" fontId="1" fillId="0" borderId="129" xfId="0" applyNumberFormat="1" applyFont="1" applyBorder="1" applyAlignment="1"/>
    <xf numFmtId="170" fontId="1" fillId="0" borderId="19" xfId="0" applyNumberFormat="1" applyFont="1" applyBorder="1"/>
    <xf numFmtId="170" fontId="1" fillId="0" borderId="226" xfId="0" applyNumberFormat="1" applyFont="1" applyBorder="1"/>
    <xf numFmtId="0" fontId="1" fillId="0" borderId="0" xfId="0" applyFont="1" applyFill="1" applyBorder="1" applyAlignment="1"/>
    <xf numFmtId="170" fontId="1" fillId="0" borderId="225" xfId="0" applyNumberFormat="1" applyFont="1" applyBorder="1" applyAlignment="1"/>
    <xf numFmtId="0" fontId="1" fillId="0" borderId="32" xfId="0" applyFont="1" applyFill="1" applyBorder="1"/>
    <xf numFmtId="170" fontId="7" fillId="0" borderId="212"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152" xfId="0" applyNumberFormat="1" applyFont="1" applyBorder="1"/>
    <xf numFmtId="0" fontId="1" fillId="0" borderId="13" xfId="0" applyFont="1" applyFill="1" applyBorder="1"/>
    <xf numFmtId="170" fontId="7" fillId="0" borderId="152" xfId="0" applyNumberFormat="1" applyFont="1" applyBorder="1"/>
    <xf numFmtId="0" fontId="14" fillId="0" borderId="227" xfId="0" applyFont="1" applyBorder="1"/>
    <xf numFmtId="0" fontId="126" fillId="0" borderId="6" xfId="0" applyFont="1" applyBorder="1"/>
    <xf numFmtId="0" fontId="1" fillId="0" borderId="14" xfId="0" applyFont="1" applyBorder="1"/>
    <xf numFmtId="176" fontId="24" fillId="2" borderId="14" xfId="0" applyNumberFormat="1" applyFont="1" applyFill="1" applyBorder="1" applyAlignment="1" applyProtection="1">
      <alignment horizontal="right"/>
    </xf>
    <xf numFmtId="180" fontId="68" fillId="0" borderId="19" xfId="0" applyNumberFormat="1" applyFont="1" applyBorder="1" applyAlignment="1" applyProtection="1">
      <alignment horizontal="left" vertical="center"/>
    </xf>
    <xf numFmtId="0" fontId="1"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2" xfId="0" applyFont="1" applyBorder="1" applyAlignment="1" applyProtection="1">
      <alignment horizontal="center" vertical="center"/>
    </xf>
    <xf numFmtId="0" fontId="6" fillId="0" borderId="6" xfId="0" applyFont="1" applyFill="1" applyBorder="1" applyAlignment="1" applyProtection="1">
      <alignment horizontal="center" vertical="center"/>
    </xf>
    <xf numFmtId="180" fontId="33" fillId="0" borderId="24" xfId="0" applyNumberFormat="1" applyFont="1" applyBorder="1" applyAlignment="1">
      <alignment horizontal="left" vertical="center"/>
    </xf>
    <xf numFmtId="180" fontId="33" fillId="0" borderId="19" xfId="0" applyNumberFormat="1" applyFont="1" applyBorder="1" applyAlignment="1">
      <alignment horizontal="left" vertical="center"/>
    </xf>
    <xf numFmtId="1" fontId="14" fillId="0" borderId="13" xfId="0" applyNumberFormat="1" applyFont="1" applyBorder="1" applyAlignment="1">
      <alignment horizontal="left" vertical="center"/>
    </xf>
    <xf numFmtId="0" fontId="14" fillId="0" borderId="89" xfId="0" applyFont="1" applyBorder="1" applyAlignment="1">
      <alignment vertical="center"/>
    </xf>
    <xf numFmtId="175" fontId="19" fillId="0" borderId="49" xfId="0" applyNumberFormat="1" applyFont="1" applyFill="1" applyBorder="1" applyProtection="1"/>
    <xf numFmtId="175" fontId="19" fillId="0" borderId="51" xfId="0" applyNumberFormat="1" applyFont="1" applyFill="1" applyBorder="1" applyProtection="1"/>
    <xf numFmtId="0" fontId="15" fillId="0" borderId="0" xfId="0" applyFont="1" applyAlignment="1">
      <alignment horizontal="center" vertical="top" wrapText="1"/>
    </xf>
    <xf numFmtId="0" fontId="65"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27" fillId="0" borderId="0" xfId="0" applyFont="1" applyAlignment="1">
      <alignment vertical="center" wrapText="1"/>
    </xf>
    <xf numFmtId="0" fontId="95" fillId="0" borderId="0" xfId="0" applyFont="1" applyAlignment="1">
      <alignment vertical="center" wrapText="1"/>
    </xf>
    <xf numFmtId="0" fontId="72" fillId="0" borderId="0" xfId="0" applyFont="1" applyAlignment="1">
      <alignment vertical="center" wrapText="1"/>
    </xf>
    <xf numFmtId="0" fontId="82" fillId="0" borderId="16" xfId="0" applyFont="1" applyBorder="1" applyAlignment="1">
      <alignment horizontal="left" vertical="center"/>
    </xf>
    <xf numFmtId="0" fontId="82" fillId="0" borderId="16" xfId="0" applyFont="1" applyBorder="1" applyAlignment="1">
      <alignment vertical="center"/>
    </xf>
    <xf numFmtId="0" fontId="96" fillId="0" borderId="9" xfId="0" applyFont="1" applyBorder="1" applyAlignment="1">
      <alignment horizontal="left" vertical="center"/>
    </xf>
    <xf numFmtId="9" fontId="4" fillId="0" borderId="0" xfId="15" applyFont="1" applyBorder="1" applyAlignment="1" applyProtection="1">
      <alignment horizontal="center" vertical="center"/>
    </xf>
    <xf numFmtId="0" fontId="16" fillId="0" borderId="2" xfId="0" applyFont="1" applyFill="1" applyBorder="1" applyAlignment="1" applyProtection="1">
      <alignment horizontal="right" vertical="center" wrapText="1"/>
    </xf>
    <xf numFmtId="0" fontId="16" fillId="0" borderId="0" xfId="0" applyFont="1" applyBorder="1" applyAlignment="1" applyProtection="1">
      <alignment horizontal="right" vertical="center" wrapText="1"/>
    </xf>
    <xf numFmtId="0" fontId="16" fillId="0" borderId="54" xfId="0" applyFont="1" applyBorder="1" applyAlignment="1" applyProtection="1">
      <alignment horizontal="right" vertical="center" wrapText="1"/>
    </xf>
    <xf numFmtId="0" fontId="16" fillId="0" borderId="20" xfId="0" applyFont="1" applyFill="1" applyBorder="1" applyAlignment="1" applyProtection="1">
      <alignment horizontal="right" vertical="center" wrapText="1"/>
    </xf>
    <xf numFmtId="0" fontId="16" fillId="0" borderId="21" xfId="0" applyFont="1" applyBorder="1" applyAlignment="1" applyProtection="1">
      <alignment horizontal="right" vertical="center" wrapText="1"/>
    </xf>
    <xf numFmtId="0" fontId="16" fillId="0" borderId="102" xfId="0" applyFont="1" applyBorder="1" applyAlignment="1" applyProtection="1">
      <alignment horizontal="right" vertical="center" wrapText="1"/>
    </xf>
    <xf numFmtId="0" fontId="16" fillId="0" borderId="34" xfId="0" applyFont="1" applyFill="1" applyBorder="1" applyAlignment="1" applyProtection="1">
      <alignment horizontal="right" vertical="center"/>
    </xf>
    <xf numFmtId="0" fontId="14" fillId="0" borderId="13" xfId="0" applyFont="1" applyBorder="1" applyAlignment="1">
      <alignment horizontal="right" vertical="center"/>
    </xf>
    <xf numFmtId="0" fontId="14" fillId="0" borderId="179" xfId="0" applyFont="1" applyBorder="1" applyAlignment="1">
      <alignment horizontal="right" vertical="center"/>
    </xf>
    <xf numFmtId="0" fontId="7" fillId="4" borderId="9" xfId="0" applyFont="1" applyFill="1" applyBorder="1" applyAlignment="1" applyProtection="1">
      <alignment horizontal="center" vertical="top" wrapText="1"/>
    </xf>
    <xf numFmtId="0" fontId="14" fillId="0" borderId="7" xfId="0" applyFont="1" applyBorder="1" applyAlignment="1">
      <alignment vertical="top"/>
    </xf>
    <xf numFmtId="49" fontId="27" fillId="3" borderId="85" xfId="0" applyNumberFormat="1"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31" fillId="4" borderId="178" xfId="0" applyFont="1" applyFill="1" applyBorder="1" applyAlignment="1" applyProtection="1">
      <alignment horizontal="center" vertical="center" wrapText="1"/>
    </xf>
    <xf numFmtId="0" fontId="30" fillId="4" borderId="86" xfId="0" applyFont="1" applyFill="1" applyBorder="1" applyAlignment="1" applyProtection="1">
      <alignment horizontal="center" vertical="center" wrapText="1"/>
    </xf>
    <xf numFmtId="0" fontId="30" fillId="4" borderId="70" xfId="0" applyFont="1" applyFill="1" applyBorder="1" applyAlignment="1" applyProtection="1">
      <alignment horizontal="center" vertical="center" wrapText="1"/>
    </xf>
    <xf numFmtId="0" fontId="7" fillId="4" borderId="121" xfId="0" applyFont="1" applyFill="1" applyBorder="1" applyAlignment="1" applyProtection="1">
      <alignment horizontal="center" vertical="top" wrapText="1"/>
    </xf>
    <xf numFmtId="0" fontId="14" fillId="0" borderId="75" xfId="0" applyFont="1" applyBorder="1" applyAlignment="1">
      <alignment horizontal="center" vertical="top" wrapText="1"/>
    </xf>
    <xf numFmtId="0" fontId="7" fillId="8" borderId="180" xfId="0" applyFont="1" applyFill="1" applyBorder="1" applyAlignment="1" applyProtection="1">
      <alignment horizontal="center" vertical="top" wrapText="1"/>
    </xf>
    <xf numFmtId="0" fontId="14" fillId="0" borderId="144" xfId="0" applyFont="1" applyBorder="1" applyAlignment="1">
      <alignment horizontal="center" vertical="top" wrapText="1"/>
    </xf>
    <xf numFmtId="49" fontId="17" fillId="3" borderId="85" xfId="0" applyNumberFormat="1" applyFont="1" applyFill="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7" fillId="3" borderId="85" xfId="0" applyNumberFormat="1" applyFont="1" applyFill="1" applyBorder="1" applyAlignment="1" applyProtection="1">
      <alignment vertical="center"/>
      <protection locked="0"/>
    </xf>
    <xf numFmtId="49" fontId="14" fillId="0" borderId="45" xfId="0" applyNumberFormat="1" applyFont="1" applyBorder="1" applyAlignment="1" applyProtection="1">
      <alignment vertical="center"/>
      <protection locked="0"/>
    </xf>
    <xf numFmtId="49" fontId="17" fillId="3" borderId="175" xfId="0" applyNumberFormat="1" applyFont="1" applyFill="1" applyBorder="1" applyAlignment="1" applyProtection="1">
      <alignment vertical="center"/>
      <protection locked="0"/>
    </xf>
    <xf numFmtId="49" fontId="14" fillId="0" borderId="140" xfId="0" applyNumberFormat="1" applyFont="1" applyBorder="1" applyAlignment="1" applyProtection="1">
      <alignment vertical="center"/>
      <protection locked="0"/>
    </xf>
    <xf numFmtId="0" fontId="27" fillId="0" borderId="176" xfId="0" applyFont="1" applyFill="1" applyBorder="1" applyAlignment="1" applyProtection="1">
      <alignment horizontal="center" vertical="center" wrapText="1"/>
    </xf>
    <xf numFmtId="0" fontId="27" fillId="0" borderId="122" xfId="0" applyFont="1" applyBorder="1" applyAlignment="1">
      <alignment horizontal="center" vertical="center" wrapText="1"/>
    </xf>
    <xf numFmtId="0" fontId="27" fillId="0" borderId="15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145" xfId="0" applyFont="1" applyBorder="1" applyAlignment="1">
      <alignment horizontal="center" vertical="center" wrapText="1"/>
    </xf>
    <xf numFmtId="49" fontId="25" fillId="3" borderId="85" xfId="0" applyNumberFormat="1" applyFont="1" applyFill="1" applyBorder="1" applyAlignment="1" applyProtection="1">
      <alignment horizontal="center" vertical="center"/>
      <protection locked="0"/>
    </xf>
    <xf numFmtId="49" fontId="17" fillId="3" borderId="19" xfId="0" applyNumberFormat="1" applyFont="1" applyFill="1" applyBorder="1" applyAlignment="1" applyProtection="1">
      <alignment vertical="center"/>
      <protection locked="0"/>
    </xf>
    <xf numFmtId="49" fontId="14" fillId="0" borderId="19" xfId="0" applyNumberFormat="1" applyFont="1" applyBorder="1" applyAlignment="1" applyProtection="1">
      <alignment vertical="center"/>
      <protection locked="0"/>
    </xf>
    <xf numFmtId="49" fontId="17" fillId="0" borderId="85" xfId="0" applyNumberFormat="1" applyFont="1" applyFill="1" applyBorder="1" applyAlignment="1" applyProtection="1">
      <alignment vertical="center"/>
    </xf>
    <xf numFmtId="49" fontId="14" fillId="0" borderId="45" xfId="0" applyNumberFormat="1" applyFont="1" applyFill="1" applyBorder="1" applyAlignment="1" applyProtection="1">
      <alignment vertical="center"/>
    </xf>
    <xf numFmtId="49" fontId="47" fillId="3" borderId="85" xfId="0" applyNumberFormat="1" applyFont="1" applyFill="1" applyBorder="1" applyAlignment="1" applyProtection="1">
      <alignment vertical="center"/>
      <protection locked="0"/>
    </xf>
    <xf numFmtId="49" fontId="14" fillId="0" borderId="102" xfId="0" applyNumberFormat="1" applyFont="1" applyBorder="1" applyAlignment="1" applyProtection="1">
      <alignment vertical="center"/>
      <protection locked="0"/>
    </xf>
    <xf numFmtId="49" fontId="47" fillId="3" borderId="19" xfId="0" applyNumberFormat="1" applyFont="1" applyFill="1" applyBorder="1" applyAlignment="1" applyProtection="1">
      <alignment horizontal="left" vertical="center"/>
      <protection locked="0"/>
    </xf>
    <xf numFmtId="49" fontId="43" fillId="0" borderId="42" xfId="0" applyNumberFormat="1" applyFont="1" applyBorder="1" applyAlignment="1" applyProtection="1">
      <alignment horizontal="left" vertical="center"/>
      <protection locked="0"/>
    </xf>
    <xf numFmtId="0" fontId="51" fillId="4" borderId="72" xfId="0" applyFont="1" applyFill="1" applyBorder="1" applyAlignment="1" applyProtection="1">
      <alignment horizontal="center" vertical="center" wrapText="1"/>
    </xf>
    <xf numFmtId="0" fontId="52" fillId="0" borderId="60" xfId="0" applyFont="1" applyBorder="1" applyAlignment="1" applyProtection="1">
      <alignment horizontal="center" vertical="center" wrapText="1"/>
    </xf>
    <xf numFmtId="0" fontId="52" fillId="0" borderId="120" xfId="0" applyFont="1" applyBorder="1" applyAlignment="1" applyProtection="1">
      <alignment horizontal="center" vertical="center" wrapText="1"/>
    </xf>
    <xf numFmtId="0" fontId="73" fillId="2" borderId="6" xfId="0" applyFont="1" applyFill="1" applyBorder="1" applyAlignment="1" applyProtection="1">
      <alignment horizontal="center" vertical="center" wrapText="1"/>
    </xf>
    <xf numFmtId="0" fontId="74" fillId="0" borderId="6" xfId="0" applyFont="1" applyBorder="1" applyAlignment="1" applyProtection="1">
      <alignment horizontal="center" vertical="center" wrapText="1"/>
    </xf>
    <xf numFmtId="0" fontId="37" fillId="2" borderId="10" xfId="0" applyFont="1" applyFill="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36" fillId="0" borderId="88" xfId="0" applyFont="1" applyFill="1" applyBorder="1" applyAlignment="1" applyProtection="1">
      <alignment horizontal="center" vertical="center" wrapText="1"/>
    </xf>
    <xf numFmtId="0" fontId="97" fillId="0" borderId="11" xfId="0" applyFont="1" applyFill="1" applyBorder="1" applyAlignment="1" applyProtection="1">
      <alignment horizontal="center" vertical="center" wrapText="1"/>
    </xf>
    <xf numFmtId="0" fontId="97" fillId="0" borderId="53" xfId="0" applyFont="1" applyFill="1" applyBorder="1" applyAlignment="1" applyProtection="1">
      <alignment horizontal="center" vertical="center" wrapText="1"/>
    </xf>
    <xf numFmtId="0" fontId="97" fillId="0" borderId="8" xfId="0" applyFont="1" applyFill="1" applyBorder="1" applyAlignment="1" applyProtection="1">
      <alignment horizontal="center" vertical="center" wrapText="1"/>
    </xf>
    <xf numFmtId="0" fontId="97" fillId="0" borderId="173" xfId="0" applyFont="1" applyFill="1" applyBorder="1" applyAlignment="1" applyProtection="1">
      <alignment horizontal="center" vertical="center" wrapText="1"/>
    </xf>
    <xf numFmtId="0" fontId="97" fillId="0" borderId="174" xfId="0" applyFont="1" applyFill="1" applyBorder="1" applyAlignment="1" applyProtection="1">
      <alignment horizontal="center" vertical="center" wrapText="1"/>
    </xf>
    <xf numFmtId="49" fontId="17" fillId="3" borderId="19" xfId="0" applyNumberFormat="1" applyFont="1" applyFill="1" applyBorder="1" applyAlignment="1" applyProtection="1">
      <alignment vertical="center" wrapText="1"/>
      <protection locked="0"/>
    </xf>
    <xf numFmtId="49" fontId="14" fillId="0" borderId="19" xfId="0" applyNumberFormat="1" applyFont="1" applyBorder="1" applyAlignment="1" applyProtection="1">
      <alignment vertical="center" wrapText="1"/>
      <protection locked="0"/>
    </xf>
    <xf numFmtId="49" fontId="17" fillId="3" borderId="77" xfId="0" applyNumberFormat="1" applyFont="1" applyFill="1" applyBorder="1" applyAlignment="1" applyProtection="1">
      <alignment horizontal="left" vertical="center"/>
      <protection locked="0"/>
    </xf>
    <xf numFmtId="49" fontId="15" fillId="0" borderId="18" xfId="0" applyNumberFormat="1" applyFont="1" applyBorder="1" applyAlignment="1" applyProtection="1">
      <alignment horizontal="left" vertical="center"/>
      <protection locked="0"/>
    </xf>
    <xf numFmtId="49" fontId="17" fillId="3" borderId="17" xfId="0" applyNumberFormat="1" applyFont="1" applyFill="1" applyBorder="1" applyAlignment="1" applyProtection="1">
      <alignment horizontal="left" vertical="center"/>
      <protection locked="0"/>
    </xf>
    <xf numFmtId="49" fontId="17" fillId="3" borderId="18" xfId="0" applyNumberFormat="1" applyFont="1" applyFill="1" applyBorder="1" applyAlignment="1" applyProtection="1">
      <alignment horizontal="left" vertical="center"/>
      <protection locked="0"/>
    </xf>
    <xf numFmtId="49" fontId="17" fillId="3" borderId="175"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40" xfId="0" applyBorder="1" applyAlignment="1" applyProtection="1">
      <alignment horizontal="left" vertical="center"/>
      <protection locked="0"/>
    </xf>
    <xf numFmtId="0" fontId="10" fillId="0" borderId="85" xfId="0" applyFont="1" applyFill="1" applyBorder="1" applyAlignment="1">
      <alignment vertical="top" wrapText="1"/>
    </xf>
    <xf numFmtId="0" fontId="0" fillId="0" borderId="21" xfId="0" applyBorder="1" applyAlignment="1">
      <alignment vertical="top" wrapText="1"/>
    </xf>
    <xf numFmtId="0" fontId="16" fillId="0" borderId="82" xfId="0" applyFont="1" applyFill="1" applyBorder="1" applyAlignment="1" applyProtection="1">
      <alignment horizontal="right" vertical="center" wrapText="1"/>
    </xf>
    <xf numFmtId="0" fontId="16" fillId="0" borderId="170" xfId="0" applyFont="1" applyFill="1" applyBorder="1" applyAlignment="1" applyProtection="1">
      <alignment horizontal="right" vertical="center" wrapText="1"/>
    </xf>
    <xf numFmtId="0" fontId="16" fillId="0" borderId="170" xfId="0" applyFont="1" applyBorder="1" applyAlignment="1" applyProtection="1">
      <alignment horizontal="right" vertical="center" wrapText="1"/>
    </xf>
    <xf numFmtId="0" fontId="16" fillId="0" borderId="121" xfId="0" applyFont="1" applyBorder="1" applyAlignment="1" applyProtection="1">
      <alignment horizontal="right" vertical="center" wrapText="1"/>
    </xf>
    <xf numFmtId="0" fontId="16" fillId="0" borderId="31" xfId="0" applyFont="1" applyBorder="1" applyAlignment="1" applyProtection="1">
      <alignment horizontal="right" vertical="center" wrapText="1"/>
    </xf>
    <xf numFmtId="0" fontId="16" fillId="0" borderId="32" xfId="0" applyFont="1" applyBorder="1" applyAlignment="1" applyProtection="1">
      <alignment horizontal="right" vertical="center" wrapText="1"/>
    </xf>
    <xf numFmtId="0" fontId="16" fillId="0" borderId="40" xfId="0" applyFont="1" applyBorder="1" applyAlignment="1" applyProtection="1">
      <alignment horizontal="right" vertical="center" wrapText="1"/>
    </xf>
    <xf numFmtId="0" fontId="17" fillId="12" borderId="2" xfId="0" applyFont="1" applyFill="1" applyBorder="1" applyAlignment="1" applyProtection="1">
      <alignment horizontal="right" vertical="center" wrapText="1"/>
    </xf>
    <xf numFmtId="0" fontId="17" fillId="12" borderId="0" xfId="0" applyFont="1" applyFill="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0" borderId="8" xfId="0" applyFont="1" applyBorder="1" applyAlignment="1" applyProtection="1">
      <alignment horizontal="right" vertical="center" wrapText="1"/>
    </xf>
    <xf numFmtId="0" fontId="17" fillId="10" borderId="58" xfId="0" applyFont="1" applyFill="1" applyBorder="1" applyAlignment="1" applyProtection="1">
      <alignment horizontal="right" vertical="center" wrapText="1"/>
    </xf>
    <xf numFmtId="0" fontId="17" fillId="10" borderId="5" xfId="0" applyFont="1" applyFill="1" applyBorder="1" applyAlignment="1" applyProtection="1">
      <alignment horizontal="right" vertical="center" wrapText="1"/>
    </xf>
    <xf numFmtId="0" fontId="17" fillId="10" borderId="59" xfId="0" applyFont="1" applyFill="1" applyBorder="1" applyAlignment="1" applyProtection="1">
      <alignment horizontal="right" vertical="center" wrapText="1"/>
    </xf>
    <xf numFmtId="0" fontId="16" fillId="0" borderId="67"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68" xfId="0" applyFont="1" applyBorder="1" applyAlignment="1" applyProtection="1">
      <alignment horizontal="right" vertical="center" wrapText="1"/>
    </xf>
    <xf numFmtId="0" fontId="20" fillId="0" borderId="171" xfId="0" applyFont="1" applyFill="1" applyBorder="1" applyAlignment="1" applyProtection="1">
      <alignment horizontal="right" vertical="center" wrapText="1"/>
    </xf>
    <xf numFmtId="0" fontId="20" fillId="0" borderId="172" xfId="0" applyFont="1" applyFill="1" applyBorder="1" applyAlignment="1" applyProtection="1">
      <alignment horizontal="right" vertical="center" wrapText="1"/>
    </xf>
    <xf numFmtId="0" fontId="20" fillId="0" borderId="172" xfId="0" applyFont="1" applyBorder="1" applyAlignment="1" applyProtection="1">
      <alignment horizontal="right" vertical="center" wrapText="1"/>
    </xf>
    <xf numFmtId="0" fontId="20" fillId="0" borderId="142" xfId="0" applyFont="1" applyBorder="1" applyAlignment="1" applyProtection="1">
      <alignment horizontal="right" vertical="center" wrapText="1"/>
    </xf>
    <xf numFmtId="0" fontId="16" fillId="0" borderId="21" xfId="0" applyFont="1" applyBorder="1" applyAlignment="1" applyProtection="1">
      <alignment horizontal="right" vertical="center"/>
    </xf>
    <xf numFmtId="0" fontId="16" fillId="0" borderId="102" xfId="0" applyFont="1" applyBorder="1" applyAlignment="1" applyProtection="1">
      <alignment horizontal="right" vertical="center"/>
    </xf>
    <xf numFmtId="0" fontId="106" fillId="4" borderId="72" xfId="0" applyFont="1" applyFill="1" applyBorder="1" applyAlignment="1" applyProtection="1">
      <alignment horizontal="left" vertical="center" wrapText="1"/>
    </xf>
    <xf numFmtId="0" fontId="105" fillId="4" borderId="60" xfId="0" applyFont="1" applyFill="1" applyBorder="1" applyAlignment="1" applyProtection="1">
      <alignment horizontal="left" vertical="center" wrapText="1"/>
    </xf>
    <xf numFmtId="0" fontId="20" fillId="0" borderId="167" xfId="0" applyFont="1" applyFill="1" applyBorder="1" applyAlignment="1" applyProtection="1">
      <alignment horizontal="right" vertical="center" wrapText="1"/>
    </xf>
    <xf numFmtId="0" fontId="20" fillId="0" borderId="56" xfId="0" applyFont="1" applyFill="1" applyBorder="1" applyAlignment="1" applyProtection="1">
      <alignment horizontal="right" vertical="center"/>
    </xf>
    <xf numFmtId="0" fontId="20" fillId="0" borderId="168" xfId="0" applyFont="1" applyFill="1" applyBorder="1" applyAlignment="1" applyProtection="1">
      <alignment horizontal="right" vertical="center"/>
    </xf>
    <xf numFmtId="0" fontId="17" fillId="12" borderId="0" xfId="0" applyFont="1" applyFill="1" applyBorder="1" applyAlignment="1" applyProtection="1">
      <alignment horizontal="right" vertical="center"/>
    </xf>
    <xf numFmtId="0" fontId="17" fillId="12" borderId="54" xfId="0" applyFont="1" applyFill="1" applyBorder="1" applyAlignment="1" applyProtection="1">
      <alignment horizontal="right" vertical="center"/>
    </xf>
    <xf numFmtId="0" fontId="57" fillId="4" borderId="167" xfId="0" applyFont="1" applyFill="1" applyBorder="1" applyAlignment="1" applyProtection="1">
      <alignment horizontal="left" vertical="center" wrapText="1"/>
    </xf>
    <xf numFmtId="0" fontId="62" fillId="4" borderId="56" xfId="0" applyFont="1" applyFill="1" applyBorder="1" applyAlignment="1" applyProtection="1">
      <alignment vertical="center" wrapText="1"/>
    </xf>
    <xf numFmtId="0" fontId="16" fillId="0" borderId="0" xfId="0" applyFont="1" applyBorder="1" applyAlignment="1" applyProtection="1">
      <alignment horizontal="right" vertical="center"/>
    </xf>
    <xf numFmtId="0" fontId="16" fillId="0" borderId="54" xfId="0" applyFont="1" applyBorder="1" applyAlignment="1" applyProtection="1">
      <alignment horizontal="right" vertical="center"/>
    </xf>
    <xf numFmtId="0" fontId="7"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7" fillId="10" borderId="58" xfId="0" applyFont="1" applyFill="1" applyBorder="1" applyAlignment="1" applyProtection="1">
      <alignment horizontal="right" vertical="center" wrapText="1"/>
    </xf>
    <xf numFmtId="0" fontId="7" fillId="10" borderId="5" xfId="0" applyFont="1" applyFill="1" applyBorder="1" applyAlignment="1" applyProtection="1">
      <alignment horizontal="right" vertical="center" wrapText="1"/>
    </xf>
    <xf numFmtId="0" fontId="7" fillId="10" borderId="169" xfId="0" applyFont="1" applyFill="1" applyBorder="1" applyAlignment="1" applyProtection="1">
      <alignment horizontal="right" vertical="center" wrapText="1"/>
    </xf>
    <xf numFmtId="0" fontId="107" fillId="11" borderId="7" xfId="0" applyFont="1" applyFill="1" applyBorder="1" applyAlignment="1" applyProtection="1">
      <alignment horizontal="left" vertical="center" wrapText="1"/>
    </xf>
    <xf numFmtId="0" fontId="110" fillId="11" borderId="6" xfId="0" applyFont="1" applyFill="1" applyBorder="1" applyAlignment="1">
      <alignment horizontal="left" vertical="center" wrapText="1"/>
    </xf>
    <xf numFmtId="0" fontId="7" fillId="5" borderId="167" xfId="0" applyFont="1" applyFill="1" applyBorder="1" applyAlignment="1" applyProtection="1">
      <alignment horizontal="left" vertical="center" wrapText="1"/>
    </xf>
    <xf numFmtId="0" fontId="4" fillId="5" borderId="56" xfId="0" applyFont="1" applyFill="1" applyBorder="1" applyAlignment="1" applyProtection="1">
      <alignment horizontal="left" vertical="center" wrapText="1"/>
    </xf>
    <xf numFmtId="0" fontId="4" fillId="5" borderId="56" xfId="0" applyFont="1" applyFill="1" applyBorder="1" applyAlignment="1" applyProtection="1">
      <alignment vertical="center" wrapText="1"/>
    </xf>
    <xf numFmtId="0" fontId="107" fillId="7" borderId="7" xfId="0" applyFont="1" applyFill="1" applyBorder="1" applyAlignment="1" applyProtection="1">
      <alignment horizontal="left" vertical="center" wrapText="1"/>
    </xf>
    <xf numFmtId="0" fontId="110" fillId="7" borderId="6" xfId="0" applyFont="1" applyFill="1" applyBorder="1" applyAlignment="1" applyProtection="1">
      <alignment horizontal="left" vertical="center" wrapText="1"/>
    </xf>
    <xf numFmtId="0" fontId="16" fillId="0" borderId="66" xfId="0" applyFont="1" applyFill="1" applyBorder="1" applyAlignment="1" applyProtection="1">
      <alignment horizontal="right" vertical="center" wrapText="1"/>
    </xf>
    <xf numFmtId="0" fontId="16" fillId="0" borderId="52" xfId="0" applyFont="1" applyFill="1" applyBorder="1" applyAlignment="1" applyProtection="1">
      <alignment horizontal="right" vertical="center" wrapText="1"/>
    </xf>
    <xf numFmtId="0" fontId="16" fillId="0" borderId="52" xfId="0" applyFont="1" applyBorder="1" applyAlignment="1" applyProtection="1">
      <alignment horizontal="right" vertical="center" wrapText="1"/>
    </xf>
    <xf numFmtId="0" fontId="16" fillId="0" borderId="53" xfId="0" applyFont="1" applyBorder="1" applyAlignment="1" applyProtection="1">
      <alignment horizontal="right" vertical="center" wrapText="1"/>
    </xf>
    <xf numFmtId="49" fontId="17" fillId="3" borderId="19" xfId="0" applyNumberFormat="1" applyFont="1" applyFill="1" applyBorder="1" applyAlignment="1" applyProtection="1">
      <alignment vertical="center" wrapText="1"/>
    </xf>
    <xf numFmtId="49" fontId="14" fillId="0" borderId="19" xfId="0" applyNumberFormat="1" applyFont="1" applyBorder="1" applyAlignment="1" applyProtection="1">
      <alignment vertical="center" wrapText="1"/>
    </xf>
    <xf numFmtId="49" fontId="17" fillId="3" borderId="77" xfId="0" applyNumberFormat="1" applyFont="1" applyFill="1" applyBorder="1" applyAlignment="1" applyProtection="1">
      <alignment vertical="center"/>
    </xf>
    <xf numFmtId="49" fontId="15" fillId="0" borderId="18" xfId="0" applyNumberFormat="1" applyFont="1" applyBorder="1" applyAlignment="1" applyProtection="1">
      <alignment vertical="center"/>
    </xf>
    <xf numFmtId="49" fontId="17" fillId="3" borderId="17" xfId="0" applyNumberFormat="1" applyFont="1" applyFill="1" applyBorder="1" applyAlignment="1" applyProtection="1">
      <alignment vertical="center"/>
    </xf>
    <xf numFmtId="49" fontId="17" fillId="3" borderId="18" xfId="0" applyNumberFormat="1" applyFont="1" applyFill="1" applyBorder="1" applyAlignment="1" applyProtection="1">
      <alignment vertical="center"/>
    </xf>
    <xf numFmtId="49" fontId="17" fillId="3" borderId="175" xfId="0" applyNumberFormat="1" applyFont="1" applyFill="1" applyBorder="1" applyAlignment="1" applyProtection="1">
      <alignment vertical="center"/>
    </xf>
    <xf numFmtId="0" fontId="0" fillId="0" borderId="1" xfId="0" applyBorder="1" applyAlignment="1">
      <alignment vertical="center"/>
    </xf>
    <xf numFmtId="0" fontId="0" fillId="0" borderId="140" xfId="0" applyBorder="1" applyAlignment="1">
      <alignment vertical="center"/>
    </xf>
    <xf numFmtId="0" fontId="27" fillId="0" borderId="122" xfId="0" applyFont="1" applyBorder="1" applyAlignment="1" applyProtection="1">
      <alignment horizontal="center" vertical="center" wrapText="1"/>
    </xf>
    <xf numFmtId="0" fontId="27" fillId="0" borderId="157" xfId="0" applyFont="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177" xfId="0" applyFont="1" applyBorder="1" applyAlignment="1" applyProtection="1">
      <alignment horizontal="center" vertical="center" wrapText="1"/>
    </xf>
    <xf numFmtId="0" fontId="27" fillId="0" borderId="74" xfId="0" applyFont="1" applyBorder="1" applyAlignment="1" applyProtection="1">
      <alignment horizontal="center" vertical="center" wrapText="1"/>
    </xf>
    <xf numFmtId="0" fontId="27" fillId="0" borderId="145" xfId="0" applyFont="1" applyBorder="1" applyAlignment="1" applyProtection="1">
      <alignment horizontal="center" vertical="center" wrapText="1"/>
    </xf>
    <xf numFmtId="49" fontId="25" fillId="3" borderId="85" xfId="0" applyNumberFormat="1" applyFont="1" applyFill="1" applyBorder="1" applyAlignment="1" applyProtection="1">
      <alignment horizontal="center" vertical="center"/>
    </xf>
    <xf numFmtId="0" fontId="14" fillId="0" borderId="102" xfId="0" applyFont="1" applyBorder="1" applyAlignment="1" applyProtection="1">
      <alignment horizontal="center" vertical="center"/>
    </xf>
    <xf numFmtId="49" fontId="17" fillId="3" borderId="19" xfId="0" applyNumberFormat="1" applyFont="1" applyFill="1" applyBorder="1" applyAlignment="1" applyProtection="1">
      <alignment vertical="center"/>
    </xf>
    <xf numFmtId="49" fontId="14" fillId="0" borderId="19" xfId="0" applyNumberFormat="1" applyFont="1" applyBorder="1" applyAlignment="1" applyProtection="1">
      <alignment vertical="center"/>
    </xf>
    <xf numFmtId="49" fontId="17" fillId="3" borderId="85" xfId="0" applyNumberFormat="1" applyFont="1" applyFill="1" applyBorder="1" applyAlignment="1" applyProtection="1">
      <alignment vertical="center"/>
    </xf>
    <xf numFmtId="49" fontId="14" fillId="0" borderId="45" xfId="0" applyNumberFormat="1" applyFont="1" applyBorder="1" applyAlignment="1" applyProtection="1">
      <alignment vertical="center"/>
    </xf>
    <xf numFmtId="49" fontId="17" fillId="3" borderId="85" xfId="0" applyNumberFormat="1" applyFont="1" applyFill="1" applyBorder="1" applyAlignment="1" applyProtection="1">
      <alignment horizontal="left" vertical="center"/>
    </xf>
    <xf numFmtId="49" fontId="47" fillId="3" borderId="85" xfId="0" applyNumberFormat="1" applyFont="1" applyFill="1" applyBorder="1" applyAlignment="1" applyProtection="1">
      <alignment vertical="center"/>
    </xf>
    <xf numFmtId="49" fontId="14" fillId="0" borderId="102" xfId="0" applyNumberFormat="1" applyFont="1" applyBorder="1" applyAlignment="1" applyProtection="1">
      <alignment vertical="center"/>
    </xf>
    <xf numFmtId="49" fontId="47" fillId="3" borderId="19" xfId="0" applyNumberFormat="1" applyFont="1" applyFill="1" applyBorder="1" applyAlignment="1" applyProtection="1">
      <alignment vertical="center"/>
    </xf>
    <xf numFmtId="49" fontId="43" fillId="0" borderId="42" xfId="0" applyNumberFormat="1" applyFont="1" applyBorder="1" applyAlignment="1" applyProtection="1">
      <alignment vertical="center"/>
    </xf>
    <xf numFmtId="49" fontId="14" fillId="0" borderId="140" xfId="0" applyNumberFormat="1" applyFont="1" applyBorder="1" applyAlignment="1" applyProtection="1">
      <alignment vertical="center"/>
    </xf>
    <xf numFmtId="0" fontId="14" fillId="0" borderId="13" xfId="0" applyFont="1" applyBorder="1" applyAlignment="1" applyProtection="1">
      <alignment horizontal="right" vertical="center"/>
    </xf>
    <xf numFmtId="0" fontId="14" fillId="0" borderId="179" xfId="0" applyFont="1" applyBorder="1" applyAlignment="1" applyProtection="1">
      <alignment horizontal="right" vertical="center"/>
    </xf>
    <xf numFmtId="0" fontId="14" fillId="0" borderId="7" xfId="0" applyFont="1" applyBorder="1" applyAlignment="1" applyProtection="1">
      <alignment vertical="top"/>
    </xf>
    <xf numFmtId="0" fontId="14" fillId="0" borderId="75" xfId="0" applyFont="1" applyBorder="1" applyAlignment="1" applyProtection="1">
      <alignment horizontal="center" vertical="top" wrapText="1"/>
    </xf>
    <xf numFmtId="0" fontId="14" fillId="0" borderId="144" xfId="0" applyFont="1" applyBorder="1" applyAlignment="1" applyProtection="1">
      <alignment horizontal="center" vertical="top" wrapText="1"/>
    </xf>
    <xf numFmtId="49" fontId="14" fillId="0" borderId="45" xfId="0" applyNumberFormat="1" applyFont="1" applyBorder="1" applyAlignment="1" applyProtection="1">
      <alignment horizontal="left" vertical="center"/>
    </xf>
    <xf numFmtId="49" fontId="27" fillId="3" borderId="85" xfId="0" applyNumberFormat="1" applyFont="1" applyFill="1" applyBorder="1" applyAlignment="1" applyProtection="1">
      <alignment horizontal="center" vertical="center"/>
    </xf>
    <xf numFmtId="43" fontId="5" fillId="0" borderId="19" xfId="0" applyNumberFormat="1" applyFont="1" applyFill="1" applyBorder="1" applyAlignment="1" applyProtection="1">
      <alignment vertical="center"/>
    </xf>
    <xf numFmtId="43" fontId="4" fillId="0" borderId="19" xfId="0" applyNumberFormat="1" applyFont="1" applyBorder="1" applyAlignment="1" applyProtection="1">
      <alignment vertical="center"/>
    </xf>
    <xf numFmtId="9" fontId="4" fillId="0" borderId="2" xfId="0" applyNumberFormat="1" applyFont="1" applyFill="1" applyBorder="1" applyAlignment="1" applyProtection="1">
      <alignment vertical="center"/>
    </xf>
    <xf numFmtId="0" fontId="14" fillId="0" borderId="0" xfId="0" applyFont="1" applyBorder="1" applyAlignment="1" applyProtection="1">
      <alignment vertical="center"/>
    </xf>
    <xf numFmtId="0" fontId="9" fillId="0" borderId="19" xfId="0" applyFont="1" applyFill="1" applyBorder="1" applyAlignment="1" applyProtection="1">
      <alignment horizontal="center" vertical="center" wrapText="1"/>
    </xf>
    <xf numFmtId="0" fontId="4" fillId="0" borderId="19" xfId="0" applyFont="1" applyBorder="1" applyAlignment="1" applyProtection="1">
      <alignment horizontal="center" vertical="center" wrapText="1"/>
    </xf>
    <xf numFmtId="43" fontId="5" fillId="0" borderId="85" xfId="0" applyNumberFormat="1" applyFont="1" applyFill="1" applyBorder="1" applyAlignment="1" applyProtection="1">
      <alignment vertical="center"/>
    </xf>
    <xf numFmtId="43" fontId="14" fillId="0" borderId="21" xfId="0" applyNumberFormat="1" applyFont="1" applyBorder="1" applyAlignment="1" applyProtection="1">
      <alignment vertical="center"/>
    </xf>
    <xf numFmtId="43" fontId="14" fillId="0" borderId="102" xfId="0" applyNumberFormat="1" applyFont="1" applyBorder="1" applyAlignment="1" applyProtection="1">
      <alignment vertical="center"/>
    </xf>
    <xf numFmtId="9" fontId="5" fillId="0" borderId="2" xfId="0" applyNumberFormat="1" applyFont="1" applyFill="1" applyBorder="1" applyAlignment="1" applyProtection="1">
      <alignment horizontal="left" vertical="center"/>
    </xf>
    <xf numFmtId="49" fontId="55" fillId="0" borderId="19" xfId="0" applyNumberFormat="1" applyFont="1" applyBorder="1" applyAlignment="1" applyProtection="1">
      <alignment vertical="center"/>
    </xf>
    <xf numFmtId="0" fontId="14" fillId="0" borderId="42" xfId="0" applyFont="1" applyBorder="1" applyAlignment="1" applyProtection="1">
      <alignment vertical="center"/>
    </xf>
    <xf numFmtId="49" fontId="55" fillId="0" borderId="85" xfId="0" applyNumberFormat="1" applyFont="1" applyBorder="1" applyAlignment="1" applyProtection="1">
      <alignment horizontal="left" vertical="center"/>
    </xf>
    <xf numFmtId="49" fontId="55" fillId="0" borderId="30" xfId="0" applyNumberFormat="1" applyFont="1" applyBorder="1" applyAlignment="1" applyProtection="1">
      <alignment vertical="center"/>
    </xf>
    <xf numFmtId="49" fontId="33" fillId="0" borderId="118" xfId="0" applyNumberFormat="1" applyFont="1" applyBorder="1" applyAlignment="1" applyProtection="1">
      <alignment vertical="center"/>
    </xf>
    <xf numFmtId="49" fontId="55" fillId="0" borderId="60" xfId="0" applyNumberFormat="1" applyFont="1" applyBorder="1" applyAlignment="1" applyProtection="1">
      <alignment vertical="center"/>
    </xf>
    <xf numFmtId="0" fontId="14" fillId="0" borderId="60" xfId="0" applyFont="1" applyBorder="1" applyAlignment="1" applyProtection="1">
      <alignment vertical="center"/>
    </xf>
    <xf numFmtId="0" fontId="14" fillId="0" borderId="120" xfId="0" applyFont="1" applyBorder="1" applyAlignment="1" applyProtection="1">
      <alignment vertical="center"/>
    </xf>
    <xf numFmtId="15" fontId="35" fillId="0" borderId="77" xfId="0" applyNumberFormat="1" applyFont="1" applyBorder="1" applyAlignment="1" applyProtection="1">
      <alignment vertical="center"/>
    </xf>
    <xf numFmtId="0" fontId="43" fillId="0" borderId="17" xfId="0" applyFont="1" applyBorder="1" applyAlignment="1" applyProtection="1">
      <alignment vertical="center"/>
    </xf>
    <xf numFmtId="0" fontId="43" fillId="0" borderId="181" xfId="0" applyFont="1" applyBorder="1" applyAlignment="1" applyProtection="1">
      <alignment vertical="center"/>
    </xf>
    <xf numFmtId="49" fontId="55" fillId="0" borderId="52" xfId="0" applyNumberFormat="1" applyFont="1" applyBorder="1" applyAlignment="1" applyProtection="1">
      <alignment vertical="center"/>
    </xf>
    <xf numFmtId="0" fontId="14" fillId="0" borderId="52" xfId="0" applyFont="1" applyBorder="1" applyAlignment="1" applyProtection="1">
      <alignmen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49" fontId="16" fillId="0" borderId="0" xfId="0" applyNumberFormat="1" applyFont="1" applyBorder="1" applyAlignment="1" applyProtection="1">
      <alignment horizontal="right" vertical="center"/>
    </xf>
    <xf numFmtId="178" fontId="55" fillId="0" borderId="175" xfId="0" applyNumberFormat="1" applyFont="1" applyBorder="1" applyAlignment="1" applyProtection="1">
      <alignment horizontal="left" vertical="center"/>
    </xf>
    <xf numFmtId="178" fontId="33" fillId="0" borderId="183" xfId="0" applyNumberFormat="1" applyFont="1" applyBorder="1" applyAlignment="1" applyProtection="1">
      <alignment horizontal="left" vertical="center"/>
    </xf>
    <xf numFmtId="49" fontId="80" fillId="0" borderId="175" xfId="0" applyNumberFormat="1" applyFont="1" applyBorder="1" applyAlignment="1" applyProtection="1">
      <alignment vertical="center"/>
    </xf>
    <xf numFmtId="49" fontId="14" fillId="0" borderId="1" xfId="0" applyNumberFormat="1" applyFont="1" applyBorder="1" applyAlignment="1" applyProtection="1">
      <alignment vertical="center"/>
    </xf>
    <xf numFmtId="0" fontId="55" fillId="0" borderId="19" xfId="0" applyFont="1" applyBorder="1" applyAlignment="1" applyProtection="1">
      <alignment horizontal="left" vertical="center"/>
    </xf>
    <xf numFmtId="0" fontId="14" fillId="0" borderId="19" xfId="0" applyFont="1" applyBorder="1" applyAlignment="1" applyProtection="1">
      <alignment horizontal="left" vertical="center"/>
    </xf>
    <xf numFmtId="177" fontId="17" fillId="0" borderId="6" xfId="0" applyNumberFormat="1" applyFont="1" applyBorder="1" applyAlignment="1" applyProtection="1">
      <alignment horizontal="right" vertical="center"/>
    </xf>
    <xf numFmtId="0" fontId="14" fillId="0" borderId="6" xfId="0" applyFont="1" applyBorder="1" applyAlignment="1" applyProtection="1">
      <alignment horizontal="right" vertical="center"/>
    </xf>
    <xf numFmtId="49" fontId="55" fillId="0" borderId="19" xfId="0" applyNumberFormat="1" applyFont="1" applyBorder="1" applyAlignment="1" applyProtection="1">
      <alignment horizontal="left" vertical="center"/>
    </xf>
    <xf numFmtId="49" fontId="16" fillId="0" borderId="19" xfId="0" applyNumberFormat="1" applyFont="1" applyBorder="1" applyAlignment="1" applyProtection="1">
      <alignment horizontal="left" vertical="center"/>
    </xf>
    <xf numFmtId="44" fontId="17" fillId="0" borderId="186" xfId="0" applyNumberFormat="1" applyFont="1" applyBorder="1" applyAlignment="1" applyProtection="1">
      <alignment horizontal="left" vertical="center"/>
    </xf>
    <xf numFmtId="44" fontId="0" fillId="0" borderId="69" xfId="0" applyNumberFormat="1" applyBorder="1" applyAlignment="1">
      <alignment horizontal="left" vertical="center"/>
    </xf>
    <xf numFmtId="0" fontId="14" fillId="0" borderId="24" xfId="0" applyFont="1" applyBorder="1" applyAlignment="1" applyProtection="1">
      <alignment horizontal="left" vertical="center"/>
    </xf>
    <xf numFmtId="49" fontId="55" fillId="0" borderId="175" xfId="0" applyNumberFormat="1" applyFont="1" applyBorder="1" applyAlignment="1" applyProtection="1">
      <alignment vertical="center"/>
    </xf>
    <xf numFmtId="0" fontId="0" fillId="0" borderId="1" xfId="0" applyBorder="1" applyAlignment="1" applyProtection="1">
      <alignment vertical="center"/>
    </xf>
    <xf numFmtId="0" fontId="0" fillId="0" borderId="183" xfId="0" applyBorder="1" applyAlignment="1" applyProtection="1">
      <alignment vertical="center"/>
    </xf>
    <xf numFmtId="49" fontId="55" fillId="0" borderId="0" xfId="0" applyNumberFormat="1" applyFont="1" applyBorder="1" applyAlignment="1" applyProtection="1">
      <alignment vertical="center"/>
    </xf>
    <xf numFmtId="49" fontId="14" fillId="0" borderId="24" xfId="0" applyNumberFormat="1" applyFont="1" applyBorder="1" applyAlignment="1" applyProtection="1">
      <alignment vertical="center"/>
    </xf>
    <xf numFmtId="49" fontId="55" fillId="0" borderId="74" xfId="0" applyNumberFormat="1" applyFont="1" applyBorder="1" applyAlignment="1" applyProtection="1">
      <alignment vertical="center"/>
    </xf>
    <xf numFmtId="49" fontId="0" fillId="0" borderId="74" xfId="0" applyNumberFormat="1" applyBorder="1" applyAlignment="1" applyProtection="1">
      <alignment vertical="center"/>
    </xf>
    <xf numFmtId="0" fontId="17" fillId="0" borderId="184" xfId="0" applyFont="1" applyFill="1" applyBorder="1" applyAlignment="1" applyProtection="1">
      <alignment horizontal="right" vertical="center"/>
    </xf>
    <xf numFmtId="0" fontId="16" fillId="0" borderId="6" xfId="0" applyFont="1" applyBorder="1" applyAlignment="1" applyProtection="1">
      <alignment vertical="center"/>
    </xf>
    <xf numFmtId="0" fontId="17" fillId="0" borderId="72" xfId="0" applyFont="1" applyBorder="1" applyAlignment="1" applyProtection="1">
      <alignment horizontal="right" vertical="center" wrapText="1"/>
    </xf>
    <xf numFmtId="0" fontId="0" fillId="0" borderId="60" xfId="0" applyBorder="1" applyAlignment="1">
      <alignment horizontal="right" vertical="center" wrapText="1"/>
    </xf>
    <xf numFmtId="49" fontId="14" fillId="0" borderId="42" xfId="0" applyNumberFormat="1" applyFont="1" applyBorder="1" applyAlignment="1" applyProtection="1">
      <alignment vertical="center"/>
    </xf>
    <xf numFmtId="0" fontId="55" fillId="0" borderId="19" xfId="0" applyFont="1" applyBorder="1" applyAlignment="1" applyProtection="1">
      <alignment vertical="center"/>
    </xf>
    <xf numFmtId="0" fontId="33" fillId="0" borderId="19" xfId="0" applyFont="1" applyBorder="1" applyAlignment="1" applyProtection="1">
      <alignment vertical="center"/>
    </xf>
    <xf numFmtId="171" fontId="55" fillId="0" borderId="74" xfId="0" applyNumberFormat="1" applyFont="1" applyBorder="1" applyAlignment="1" applyProtection="1">
      <alignment horizontal="left" vertical="center"/>
    </xf>
    <xf numFmtId="0" fontId="55" fillId="0" borderId="74" xfId="0" applyFont="1" applyBorder="1" applyAlignment="1" applyProtection="1">
      <alignment vertical="center"/>
    </xf>
    <xf numFmtId="9" fontId="4" fillId="0" borderId="67" xfId="0" applyNumberFormat="1" applyFont="1" applyFill="1" applyBorder="1" applyAlignment="1" applyProtection="1">
      <alignment vertical="center" wrapText="1"/>
    </xf>
    <xf numFmtId="0" fontId="14" fillId="0" borderId="12"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0" fillId="0" borderId="0" xfId="0" applyAlignment="1">
      <alignment vertical="center"/>
    </xf>
    <xf numFmtId="43" fontId="19" fillId="3" borderId="182" xfId="0" applyNumberFormat="1" applyFont="1" applyFill="1" applyBorder="1" applyAlignment="1" applyProtection="1">
      <alignment vertical="center"/>
      <protection locked="0"/>
    </xf>
    <xf numFmtId="43" fontId="4" fillId="0" borderId="182" xfId="0" applyNumberFormat="1" applyFont="1" applyBorder="1" applyAlignment="1" applyProtection="1">
      <alignment vertical="center"/>
      <protection locked="0"/>
    </xf>
    <xf numFmtId="43" fontId="19" fillId="3" borderId="184" xfId="0" applyNumberFormat="1" applyFont="1" applyFill="1" applyBorder="1" applyAlignment="1" applyProtection="1">
      <alignment vertical="center"/>
      <protection locked="0"/>
    </xf>
    <xf numFmtId="43" fontId="4" fillId="0" borderId="6" xfId="0" applyNumberFormat="1" applyFont="1" applyBorder="1" applyAlignment="1" applyProtection="1">
      <alignment vertical="center"/>
      <protection locked="0"/>
    </xf>
    <xf numFmtId="43" fontId="4" fillId="0" borderId="185" xfId="0" applyNumberFormat="1" applyFont="1" applyBorder="1" applyAlignment="1" applyProtection="1">
      <alignment vertical="center"/>
      <protection locked="0"/>
    </xf>
    <xf numFmtId="43" fontId="19" fillId="3" borderId="141" xfId="0" applyNumberFormat="1" applyFont="1" applyFill="1" applyBorder="1" applyAlignment="1" applyProtection="1">
      <alignment vertical="center"/>
      <protection locked="0"/>
    </xf>
    <xf numFmtId="9" fontId="61" fillId="0" borderId="2" xfId="0" applyNumberFormat="1" applyFont="1" applyFill="1" applyBorder="1" applyAlignment="1" applyProtection="1">
      <alignment vertical="center"/>
    </xf>
    <xf numFmtId="0" fontId="4" fillId="0" borderId="2" xfId="0" applyFont="1" applyFill="1" applyBorder="1" applyAlignment="1" applyProtection="1">
      <alignment horizontal="left" vertical="center"/>
    </xf>
    <xf numFmtId="0" fontId="4" fillId="0" borderId="0" xfId="0" applyFont="1" applyBorder="1" applyAlignment="1" applyProtection="1">
      <alignment horizontal="left" vertical="center" wrapText="1"/>
    </xf>
    <xf numFmtId="165" fontId="27" fillId="0" borderId="6" xfId="0" applyNumberFormat="1" applyFont="1" applyFill="1" applyBorder="1" applyAlignment="1" applyProtection="1">
      <alignment horizontal="right" vertical="center"/>
    </xf>
    <xf numFmtId="0" fontId="27" fillId="0" borderId="6" xfId="0" applyFont="1" applyBorder="1" applyAlignment="1" applyProtection="1">
      <alignment horizontal="right" vertical="center"/>
    </xf>
    <xf numFmtId="0" fontId="27" fillId="0" borderId="6" xfId="0" applyFont="1" applyBorder="1" applyAlignment="1" applyProtection="1">
      <alignment vertical="center"/>
    </xf>
    <xf numFmtId="9" fontId="4" fillId="0" borderId="2" xfId="0" applyNumberFormat="1" applyFont="1" applyFill="1" applyBorder="1" applyAlignment="1" applyProtection="1">
      <alignment vertical="center" wrapText="1"/>
    </xf>
    <xf numFmtId="9" fontId="61" fillId="0" borderId="67" xfId="0" applyNumberFormat="1" applyFont="1" applyFill="1" applyBorder="1" applyAlignment="1" applyProtection="1">
      <alignment vertical="center" wrapText="1"/>
    </xf>
    <xf numFmtId="165" fontId="27" fillId="0" borderId="5" xfId="0" applyNumberFormat="1" applyFont="1" applyFill="1" applyBorder="1" applyAlignment="1" applyProtection="1">
      <alignment horizontal="left" vertical="center"/>
    </xf>
    <xf numFmtId="0" fontId="10" fillId="0" borderId="5" xfId="0" applyFont="1" applyBorder="1" applyAlignment="1" applyProtection="1">
      <alignment horizontal="left" vertical="center"/>
    </xf>
    <xf numFmtId="9"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0" fontId="14" fillId="0" borderId="2" xfId="0" applyFont="1" applyBorder="1" applyAlignment="1" applyProtection="1">
      <alignment vertical="center"/>
    </xf>
    <xf numFmtId="0" fontId="100" fillId="3" borderId="32" xfId="13" applyFont="1" applyFill="1" applyBorder="1" applyAlignment="1" applyProtection="1">
      <alignment horizontal="right" vertical="center" wrapText="1"/>
      <protection locked="0"/>
    </xf>
    <xf numFmtId="0" fontId="0" fillId="0" borderId="32"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4" xfId="0" applyBorder="1" applyAlignment="1" applyProtection="1">
      <alignment vertical="center" wrapText="1"/>
      <protection locked="0"/>
    </xf>
    <xf numFmtId="0" fontId="17" fillId="0" borderId="77" xfId="0" applyFont="1" applyFill="1" applyBorder="1" applyAlignment="1" applyProtection="1">
      <alignment horizontal="right" vertical="center"/>
    </xf>
    <xf numFmtId="0" fontId="14" fillId="0" borderId="17" xfId="0" applyFont="1" applyBorder="1" applyAlignment="1" applyProtection="1">
      <alignment vertical="center"/>
    </xf>
    <xf numFmtId="0" fontId="14" fillId="0" borderId="181" xfId="0" applyFont="1" applyBorder="1" applyAlignment="1" applyProtection="1">
      <alignment vertical="center"/>
    </xf>
    <xf numFmtId="49" fontId="35" fillId="0" borderId="36" xfId="0" applyNumberFormat="1" applyFont="1" applyBorder="1" applyAlignment="1" applyProtection="1">
      <alignment horizontal="center" vertical="center"/>
    </xf>
    <xf numFmtId="0" fontId="35" fillId="0" borderId="36" xfId="0" applyFont="1" applyBorder="1" applyAlignment="1" applyProtection="1">
      <alignment horizontal="center" vertical="center"/>
    </xf>
    <xf numFmtId="49" fontId="80" fillId="0" borderId="182" xfId="0" applyNumberFormat="1" applyFont="1" applyBorder="1" applyAlignment="1" applyProtection="1">
      <alignment vertical="center"/>
    </xf>
    <xf numFmtId="0" fontId="14" fillId="0" borderId="74" xfId="0" applyFont="1" applyBorder="1" applyAlignment="1" applyProtection="1">
      <alignment vertical="center"/>
    </xf>
    <xf numFmtId="0" fontId="14" fillId="0" borderId="145" xfId="0" applyFont="1" applyBorder="1" applyAlignment="1" applyProtection="1">
      <alignment vertical="center"/>
    </xf>
    <xf numFmtId="0" fontId="47" fillId="0" borderId="7" xfId="0" applyFont="1" applyBorder="1" applyAlignment="1" applyProtection="1">
      <alignment horizontal="right" vertical="center" wrapText="1"/>
    </xf>
    <xf numFmtId="0" fontId="16" fillId="0" borderId="6" xfId="0" applyFont="1" applyBorder="1" applyAlignment="1" applyProtection="1">
      <alignment horizontal="right" vertical="center"/>
    </xf>
    <xf numFmtId="3" fontId="6" fillId="0" borderId="0" xfId="14" applyNumberFormat="1" applyFont="1" applyFill="1" applyBorder="1" applyAlignment="1" applyProtection="1">
      <alignment wrapText="1"/>
      <protection locked="0"/>
    </xf>
    <xf numFmtId="3" fontId="6" fillId="0" borderId="0" xfId="14" applyNumberFormat="1" applyFont="1" applyFill="1" applyBorder="1" applyAlignment="1" applyProtection="1">
      <alignment horizontal="center" vertical="center" wrapText="1"/>
      <protection locked="0"/>
    </xf>
    <xf numFmtId="0" fontId="15" fillId="0" borderId="2" xfId="0" applyFont="1" applyBorder="1" applyAlignment="1">
      <alignment horizontal="right" vertical="center"/>
    </xf>
    <xf numFmtId="0" fontId="14" fillId="0" borderId="0" xfId="0" applyFont="1" applyBorder="1" applyAlignment="1">
      <alignment horizontal="right" vertical="center"/>
    </xf>
    <xf numFmtId="177" fontId="31" fillId="0" borderId="19" xfId="0" applyNumberFormat="1" applyFont="1" applyBorder="1" applyAlignment="1">
      <alignment horizontal="left" vertical="center"/>
    </xf>
    <xf numFmtId="177" fontId="14" fillId="0" borderId="19" xfId="0" applyNumberFormat="1" applyFont="1" applyBorder="1" applyAlignment="1">
      <alignment horizontal="left" vertical="center"/>
    </xf>
    <xf numFmtId="49" fontId="33" fillId="0" borderId="19" xfId="0" applyNumberFormat="1" applyFont="1" applyBorder="1" applyAlignment="1">
      <alignment horizontal="left" vertical="center"/>
    </xf>
    <xf numFmtId="0" fontId="14" fillId="0" borderId="19" xfId="0"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right" vertical="center"/>
    </xf>
    <xf numFmtId="49" fontId="36" fillId="0" borderId="19" xfId="0" applyNumberFormat="1" applyFont="1" applyBorder="1" applyAlignment="1">
      <alignment horizontal="right" vertical="center"/>
    </xf>
    <xf numFmtId="0" fontId="38" fillId="0" borderId="19" xfId="0" applyFont="1" applyBorder="1" applyAlignment="1">
      <alignment horizontal="right" vertical="center"/>
    </xf>
    <xf numFmtId="49" fontId="33" fillId="0" borderId="24" xfId="0" applyNumberFormat="1" applyFont="1" applyBorder="1" applyAlignment="1">
      <alignment horizontal="left" vertical="center"/>
    </xf>
    <xf numFmtId="0" fontId="0" fillId="0" borderId="24" xfId="0" applyBorder="1" applyAlignment="1">
      <alignment horizontal="left" vertical="center"/>
    </xf>
    <xf numFmtId="0" fontId="17" fillId="12" borderId="58" xfId="0" applyFont="1" applyFill="1" applyBorder="1" applyAlignment="1" applyProtection="1">
      <alignment horizontal="right" vertical="center" wrapText="1"/>
    </xf>
    <xf numFmtId="0" fontId="17" fillId="12" borderId="5" xfId="0" applyFont="1" applyFill="1" applyBorder="1" applyAlignment="1" applyProtection="1">
      <alignment horizontal="right" vertical="center" wrapText="1"/>
    </xf>
    <xf numFmtId="0" fontId="16" fillId="12" borderId="5" xfId="0" applyFont="1" applyFill="1" applyBorder="1" applyAlignment="1" applyProtection="1">
      <alignment horizontal="right" vertical="center" wrapText="1"/>
    </xf>
    <xf numFmtId="0" fontId="16" fillId="0" borderId="5" xfId="0" applyFont="1" applyBorder="1" applyAlignment="1">
      <alignment horizontal="right" vertical="center" wrapText="1"/>
    </xf>
    <xf numFmtId="0" fontId="4" fillId="6" borderId="58"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31" fillId="4" borderId="7" xfId="0" applyFont="1" applyFill="1" applyBorder="1" applyAlignment="1" applyProtection="1">
      <alignment horizontal="left" vertical="center" wrapText="1"/>
    </xf>
    <xf numFmtId="0" fontId="31" fillId="4" borderId="6"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lignment vertical="center" wrapText="1"/>
    </xf>
    <xf numFmtId="0" fontId="17" fillId="12" borderId="5" xfId="0" applyFont="1" applyFill="1" applyBorder="1" applyAlignment="1" applyProtection="1">
      <alignment horizontal="right" vertical="center"/>
    </xf>
    <xf numFmtId="0" fontId="57" fillId="0" borderId="178" xfId="0" applyFont="1" applyFill="1" applyBorder="1" applyAlignment="1" applyProtection="1">
      <alignment horizontal="center" vertical="center" wrapText="1"/>
    </xf>
    <xf numFmtId="0" fontId="57" fillId="0" borderId="86" xfId="0" applyFont="1" applyFill="1" applyBorder="1" applyAlignment="1" applyProtection="1">
      <alignment horizontal="center" vertical="center" wrapText="1"/>
    </xf>
    <xf numFmtId="0" fontId="62" fillId="0" borderId="86" xfId="0" applyFont="1" applyBorder="1" applyAlignment="1" applyProtection="1">
      <alignment horizontal="center"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31" fillId="4" borderId="72" xfId="0" applyFont="1" applyFill="1" applyBorder="1" applyAlignment="1" applyProtection="1">
      <alignment horizontal="center" vertical="center" wrapText="1"/>
    </xf>
    <xf numFmtId="0" fontId="31" fillId="4" borderId="60" xfId="0" applyFont="1" applyFill="1" applyBorder="1" applyAlignment="1" applyProtection="1">
      <alignment horizontal="center" vertical="center" wrapText="1"/>
    </xf>
    <xf numFmtId="0" fontId="30" fillId="4" borderId="60" xfId="0" applyFont="1" applyFill="1" applyBorder="1" applyAlignment="1" applyProtection="1">
      <alignment horizontal="center" vertical="center" wrapText="1"/>
    </xf>
    <xf numFmtId="0" fontId="16" fillId="0" borderId="171" xfId="0" applyFont="1" applyBorder="1" applyAlignment="1" applyProtection="1">
      <alignment horizontal="right" vertical="center" wrapText="1"/>
    </xf>
    <xf numFmtId="0" fontId="16" fillId="0" borderId="172" xfId="0" applyFont="1" applyBorder="1" applyAlignment="1" applyProtection="1">
      <alignment horizontal="right" vertical="center" wrapText="1"/>
    </xf>
    <xf numFmtId="0" fontId="16" fillId="0" borderId="172" xfId="0" applyFont="1" applyBorder="1" applyAlignment="1">
      <alignment horizontal="right" vertical="center" wrapText="1"/>
    </xf>
    <xf numFmtId="0" fontId="16" fillId="0" borderId="5" xfId="0" applyFont="1" applyBorder="1" applyAlignment="1" applyProtection="1">
      <alignment horizontal="right" vertical="center" wrapText="1"/>
    </xf>
    <xf numFmtId="0" fontId="14" fillId="0" borderId="6" xfId="0" applyFont="1" applyBorder="1" applyAlignment="1" applyProtection="1">
      <alignment vertical="center" wrapText="1"/>
    </xf>
    <xf numFmtId="0" fontId="17" fillId="12" borderId="59" xfId="0" applyFont="1" applyFill="1" applyBorder="1" applyAlignment="1" applyProtection="1">
      <alignment horizontal="right" vertical="center"/>
    </xf>
    <xf numFmtId="0" fontId="15"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177" fontId="31" fillId="0" borderId="19" xfId="0" applyNumberFormat="1" applyFont="1" applyBorder="1" applyAlignment="1" applyProtection="1">
      <alignment horizontal="left" vertical="center"/>
    </xf>
    <xf numFmtId="177" fontId="14" fillId="0" borderId="19" xfId="0" applyNumberFormat="1" applyFont="1" applyBorder="1" applyAlignment="1" applyProtection="1">
      <alignment horizontal="left" vertical="center"/>
    </xf>
    <xf numFmtId="49" fontId="33" fillId="0" borderId="19" xfId="0" applyNumberFormat="1" applyFont="1" applyBorder="1" applyAlignment="1" applyProtection="1">
      <alignment horizontal="left" vertical="center"/>
    </xf>
    <xf numFmtId="0" fontId="14" fillId="0" borderId="19" xfId="0" applyFont="1" applyBorder="1" applyAlignment="1" applyProtection="1">
      <alignment vertical="center"/>
    </xf>
    <xf numFmtId="0" fontId="15" fillId="0" borderId="0" xfId="0" applyFont="1" applyBorder="1" applyAlignment="1" applyProtection="1">
      <alignment horizontal="right" vertical="center"/>
    </xf>
    <xf numFmtId="49" fontId="36" fillId="0" borderId="19" xfId="0" applyNumberFormat="1" applyFont="1" applyBorder="1" applyAlignment="1" applyProtection="1">
      <alignment horizontal="right" vertical="center"/>
    </xf>
    <xf numFmtId="0" fontId="38" fillId="0" borderId="19" xfId="0" applyFont="1" applyBorder="1" applyAlignment="1" applyProtection="1">
      <alignment horizontal="right" vertical="center"/>
    </xf>
    <xf numFmtId="49" fontId="33" fillId="0" borderId="24" xfId="0" applyNumberFormat="1" applyFont="1" applyBorder="1" applyAlignment="1" applyProtection="1">
      <alignment horizontal="left" vertical="center"/>
    </xf>
    <xf numFmtId="0" fontId="0" fillId="0" borderId="24" xfId="0" applyBorder="1" applyAlignment="1" applyProtection="1">
      <alignment horizontal="left" vertical="center"/>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178" fontId="29" fillId="0" borderId="19" xfId="0" applyNumberFormat="1" applyFont="1" applyFill="1" applyBorder="1" applyAlignment="1" applyProtection="1">
      <alignment horizontal="left" vertical="center"/>
    </xf>
    <xf numFmtId="178" fontId="14" fillId="0" borderId="19" xfId="0" applyNumberFormat="1" applyFont="1" applyBorder="1" applyAlignment="1" applyProtection="1">
      <alignment vertical="center"/>
    </xf>
    <xf numFmtId="174" fontId="29" fillId="0" borderId="0" xfId="0" applyNumberFormat="1" applyFont="1" applyBorder="1" applyAlignment="1" applyProtection="1">
      <alignment horizontal="left" vertical="center"/>
    </xf>
    <xf numFmtId="174" fontId="14" fillId="0" borderId="0" xfId="0" applyNumberFormat="1" applyFont="1" applyBorder="1" applyAlignment="1" applyProtection="1">
      <alignment horizontal="left" vertical="center"/>
    </xf>
    <xf numFmtId="49" fontId="33" fillId="0" borderId="19" xfId="0" applyNumberFormat="1" applyFont="1" applyBorder="1" applyAlignment="1" applyProtection="1">
      <alignment vertical="center"/>
    </xf>
    <xf numFmtId="0" fontId="7" fillId="0" borderId="88" xfId="0" applyFont="1" applyFill="1" applyBorder="1" applyAlignment="1" applyProtection="1">
      <alignment horizontal="left" vertical="center"/>
    </xf>
    <xf numFmtId="0" fontId="4" fillId="0" borderId="10"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2" xfId="0" applyFont="1" applyBorder="1" applyAlignment="1" applyProtection="1">
      <alignment horizontal="left" vertical="center" wrapText="1"/>
    </xf>
    <xf numFmtId="0" fontId="7" fillId="0" borderId="184" xfId="0" applyFont="1" applyFill="1" applyBorder="1" applyAlignment="1" applyProtection="1">
      <alignment horizontal="right" vertical="center"/>
    </xf>
    <xf numFmtId="0" fontId="4" fillId="0" borderId="6" xfId="0" applyFont="1" applyBorder="1" applyAlignment="1" applyProtection="1">
      <alignment vertical="center"/>
    </xf>
    <xf numFmtId="0" fontId="7" fillId="0" borderId="9" xfId="0" applyFont="1" applyBorder="1" applyAlignment="1" applyProtection="1">
      <alignment horizontal="right" vertical="center" wrapText="1"/>
    </xf>
    <xf numFmtId="0" fontId="14" fillId="0" borderId="10" xfId="0" applyFont="1" applyBorder="1" applyAlignment="1" applyProtection="1">
      <alignment horizontal="right" vertical="center" wrapText="1"/>
    </xf>
    <xf numFmtId="49" fontId="33" fillId="0" borderId="19" xfId="0" quotePrefix="1" applyNumberFormat="1" applyFont="1" applyFill="1" applyBorder="1" applyAlignment="1" applyProtection="1">
      <alignment horizontal="left" vertical="center" wrapText="1"/>
    </xf>
    <xf numFmtId="0" fontId="14" fillId="0" borderId="19" xfId="0" applyFont="1" applyBorder="1" applyAlignment="1">
      <alignment vertical="center" wrapText="1"/>
    </xf>
    <xf numFmtId="0" fontId="42" fillId="0" borderId="10" xfId="0" applyFont="1" applyBorder="1" applyAlignment="1">
      <alignment vertical="center"/>
    </xf>
    <xf numFmtId="0" fontId="43" fillId="0" borderId="11" xfId="0" applyFont="1" applyBorder="1" applyAlignment="1">
      <alignment vertical="center"/>
    </xf>
    <xf numFmtId="0" fontId="86" fillId="0" borderId="0" xfId="0" applyFont="1" applyBorder="1" applyAlignment="1" applyProtection="1">
      <alignment horizontal="center" vertical="center"/>
    </xf>
    <xf numFmtId="0" fontId="87" fillId="0" borderId="0" xfId="0" applyFont="1" applyBorder="1" applyAlignment="1" applyProtection="1">
      <alignment horizontal="center" vertical="center"/>
    </xf>
    <xf numFmtId="0" fontId="60" fillId="0" borderId="0" xfId="0" applyFont="1" applyBorder="1" applyAlignment="1" applyProtection="1">
      <alignment vertical="center"/>
    </xf>
    <xf numFmtId="0" fontId="36" fillId="0" borderId="85" xfId="0" applyFont="1" applyBorder="1" applyAlignment="1" applyProtection="1">
      <alignment horizontal="right" vertical="center"/>
    </xf>
    <xf numFmtId="0" fontId="36" fillId="0" borderId="21" xfId="0" applyFont="1" applyBorder="1" applyAlignment="1" applyProtection="1">
      <alignment horizontal="right" vertical="center"/>
    </xf>
    <xf numFmtId="0" fontId="14" fillId="0" borderId="21" xfId="0" applyFont="1" applyBorder="1" applyAlignment="1">
      <alignment vertical="center"/>
    </xf>
    <xf numFmtId="0" fontId="0" fillId="0" borderId="21" xfId="0" applyBorder="1" applyAlignment="1">
      <alignment vertical="center"/>
    </xf>
    <xf numFmtId="0" fontId="4" fillId="0" borderId="0" xfId="0" applyFont="1" applyFill="1" applyBorder="1" applyAlignment="1" applyProtection="1">
      <alignment horizontal="left" vertical="center" wrapText="1"/>
    </xf>
    <xf numFmtId="0" fontId="47" fillId="0" borderId="2" xfId="0" applyFont="1" applyBorder="1" applyAlignment="1" applyProtection="1">
      <alignment vertical="center" wrapText="1"/>
    </xf>
    <xf numFmtId="0" fontId="50" fillId="0" borderId="2" xfId="0" applyFont="1" applyBorder="1" applyAlignment="1">
      <alignment horizontal="right" vertical="center"/>
    </xf>
    <xf numFmtId="0" fontId="50" fillId="0" borderId="0" xfId="0" applyFont="1" applyBorder="1" applyAlignment="1">
      <alignment horizontal="right" vertical="center"/>
    </xf>
    <xf numFmtId="0" fontId="16" fillId="0" borderId="54" xfId="0" applyFont="1" applyBorder="1" applyAlignment="1">
      <alignment horizontal="right" vertical="center"/>
    </xf>
    <xf numFmtId="0" fontId="7" fillId="0" borderId="29" xfId="0" applyFont="1" applyBorder="1" applyAlignment="1"/>
    <xf numFmtId="0" fontId="14" fillId="0" borderId="13" xfId="0" applyFont="1" applyBorder="1" applyAlignment="1"/>
    <xf numFmtId="0" fontId="7" fillId="0" borderId="85" xfId="0" applyFont="1" applyBorder="1" applyAlignment="1">
      <alignment horizontal="center" vertical="center"/>
    </xf>
    <xf numFmtId="0" fontId="7" fillId="0" borderId="21" xfId="0" applyFont="1" applyBorder="1" applyAlignment="1">
      <alignment horizontal="center" vertical="center"/>
    </xf>
    <xf numFmtId="0" fontId="7" fillId="0" borderId="102" xfId="0" applyFont="1" applyBorder="1" applyAlignment="1">
      <alignment horizontal="center" vertical="center"/>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1" fillId="0" borderId="0" xfId="0" applyFont="1" applyFill="1" applyBorder="1" applyAlignment="1">
      <alignment horizontal="left"/>
    </xf>
    <xf numFmtId="0" fontId="1" fillId="0" borderId="54"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6" xfId="0" applyBorder="1" applyAlignment="1">
      <alignment horizontal="left" vertical="top" wrapText="1"/>
    </xf>
    <xf numFmtId="0" fontId="0" fillId="0" borderId="196" xfId="0" applyBorder="1" applyAlignment="1">
      <alignment horizontal="left" vertical="top" wrapText="1"/>
    </xf>
    <xf numFmtId="49" fontId="1" fillId="0" borderId="159" xfId="0" applyNumberFormat="1" applyFont="1" applyBorder="1" applyAlignment="1"/>
    <xf numFmtId="0" fontId="0" fillId="0" borderId="159" xfId="0" applyBorder="1" applyAlignment="1"/>
    <xf numFmtId="0" fontId="0" fillId="0" borderId="221"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125" fillId="0" borderId="2" xfId="0" applyFont="1" applyBorder="1" applyAlignment="1">
      <alignment horizontal="center" textRotation="180"/>
    </xf>
    <xf numFmtId="0" fontId="125" fillId="0" borderId="34" xfId="0" applyFont="1" applyBorder="1" applyAlignment="1">
      <alignment horizontal="center" textRotation="180"/>
    </xf>
    <xf numFmtId="0" fontId="17" fillId="0" borderId="0" xfId="0" applyFont="1" applyBorder="1" applyAlignment="1">
      <alignment horizontal="right" vertical="center"/>
    </xf>
    <xf numFmtId="14" fontId="16" fillId="3" borderId="85" xfId="0" applyNumberFormat="1" applyFont="1" applyFill="1" applyBorder="1" applyAlignment="1" applyProtection="1">
      <alignment vertical="center"/>
      <protection locked="0"/>
    </xf>
    <xf numFmtId="14" fontId="16" fillId="3" borderId="21" xfId="0" applyNumberFormat="1" applyFont="1" applyFill="1" applyBorder="1" applyAlignment="1" applyProtection="1">
      <alignment vertical="center"/>
      <protection locked="0"/>
    </xf>
    <xf numFmtId="14" fontId="16" fillId="3" borderId="45" xfId="0" applyNumberFormat="1" applyFont="1" applyFill="1" applyBorder="1" applyAlignment="1" applyProtection="1">
      <alignment vertical="center"/>
      <protection locked="0"/>
    </xf>
    <xf numFmtId="0" fontId="14" fillId="0" borderId="2" xfId="0" applyFont="1" applyBorder="1" applyAlignment="1">
      <alignment horizontal="right" vertical="center"/>
    </xf>
    <xf numFmtId="0" fontId="1" fillId="0" borderId="0" xfId="0" applyFont="1" applyAlignment="1">
      <alignment horizontal="justify" vertical="center" wrapText="1"/>
    </xf>
    <xf numFmtId="0" fontId="123" fillId="0" borderId="0" xfId="0" applyFont="1" applyAlignment="1">
      <alignment wrapText="1"/>
    </xf>
    <xf numFmtId="0" fontId="7" fillId="0" borderId="0" xfId="0" applyFont="1" applyAlignment="1">
      <alignment horizontal="right"/>
    </xf>
    <xf numFmtId="0" fontId="114" fillId="0" borderId="0" xfId="0" applyFont="1" applyAlignment="1">
      <alignment horizontal="right"/>
    </xf>
    <xf numFmtId="177" fontId="1" fillId="0" borderId="0" xfId="0" applyNumberFormat="1" applyFont="1" applyAlignment="1">
      <alignment horizontal="center"/>
    </xf>
    <xf numFmtId="177" fontId="119" fillId="0" borderId="0" xfId="0" applyNumberFormat="1" applyFont="1" applyAlignment="1">
      <alignment horizontal="center"/>
    </xf>
    <xf numFmtId="0" fontId="1" fillId="0" borderId="96" xfId="0" applyFont="1" applyBorder="1" applyAlignment="1">
      <alignment horizontal="center"/>
    </xf>
    <xf numFmtId="0" fontId="1" fillId="0" borderId="196" xfId="0" applyFont="1" applyBorder="1" applyAlignment="1">
      <alignment horizontal="center"/>
    </xf>
    <xf numFmtId="0" fontId="1" fillId="0" borderId="29" xfId="0" applyFont="1" applyBorder="1" applyAlignment="1">
      <alignment horizontal="center"/>
    </xf>
    <xf numFmtId="0" fontId="0" fillId="0" borderId="179" xfId="0" applyBorder="1" applyAlignment="1"/>
    <xf numFmtId="0" fontId="1" fillId="0" borderId="179" xfId="0" applyFont="1" applyBorder="1" applyAlignment="1">
      <alignment horizontal="center"/>
    </xf>
    <xf numFmtId="0" fontId="1" fillId="0" borderId="197" xfId="0" applyFont="1" applyBorder="1" applyAlignment="1">
      <alignment horizontal="center"/>
    </xf>
    <xf numFmtId="0" fontId="1" fillId="0" borderId="99" xfId="0" quotePrefix="1" applyFont="1" applyBorder="1" applyAlignment="1">
      <alignment horizontal="center"/>
    </xf>
    <xf numFmtId="0" fontId="7" fillId="0" borderId="204" xfId="0" applyFont="1" applyBorder="1" applyAlignment="1">
      <alignment horizontal="center"/>
    </xf>
    <xf numFmtId="0" fontId="7" fillId="0" borderId="102" xfId="0" applyFont="1" applyBorder="1" applyAlignment="1">
      <alignment horizontal="center"/>
    </xf>
    <xf numFmtId="0" fontId="7" fillId="0" borderId="85" xfId="0" applyFont="1" applyBorder="1" applyAlignment="1">
      <alignment horizontal="center"/>
    </xf>
    <xf numFmtId="0" fontId="0" fillId="0" borderId="102" xfId="0" applyBorder="1" applyAlignment="1"/>
    <xf numFmtId="182" fontId="7" fillId="0" borderId="218" xfId="0" applyNumberFormat="1" applyFont="1" applyBorder="1" applyAlignment="1">
      <alignment horizontal="center"/>
    </xf>
    <xf numFmtId="0" fontId="7" fillId="0" borderId="86" xfId="0" applyFont="1" applyBorder="1" applyAlignment="1">
      <alignment horizontal="center"/>
    </xf>
    <xf numFmtId="0" fontId="7" fillId="0" borderId="70" xfId="0" applyFont="1" applyBorder="1" applyAlignment="1">
      <alignment horizontal="center"/>
    </xf>
    <xf numFmtId="0" fontId="1" fillId="0" borderId="86" xfId="0" applyFont="1" applyBorder="1" applyAlignment="1">
      <alignment horizontal="center"/>
    </xf>
    <xf numFmtId="0" fontId="1" fillId="0" borderId="70" xfId="0" applyFont="1" applyBorder="1" applyAlignment="1">
      <alignment horizont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right" vertical="center"/>
    </xf>
    <xf numFmtId="0" fontId="19" fillId="3" borderId="64" xfId="0" applyFont="1" applyFill="1" applyBorder="1" applyAlignment="1" applyProtection="1">
      <alignment vertical="center"/>
      <protection locked="0"/>
    </xf>
    <xf numFmtId="0" fontId="19" fillId="3" borderId="65"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190"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191" xfId="0" applyFont="1" applyFill="1" applyBorder="1" applyAlignment="1" applyProtection="1">
      <alignment vertical="center"/>
      <protection locked="0"/>
    </xf>
    <xf numFmtId="0" fontId="19" fillId="3" borderId="192" xfId="0" applyFont="1" applyFill="1" applyBorder="1" applyAlignment="1" applyProtection="1">
      <alignment vertical="center"/>
      <protection locked="0"/>
    </xf>
    <xf numFmtId="0" fontId="15" fillId="0" borderId="85" xfId="0" applyFont="1" applyBorder="1" applyAlignment="1">
      <alignment horizontal="center" vertical="center" wrapText="1"/>
    </xf>
    <xf numFmtId="0" fontId="15" fillId="0" borderId="102" xfId="0" applyFont="1" applyBorder="1" applyAlignment="1">
      <alignment horizontal="center" vertical="center" wrapText="1"/>
    </xf>
    <xf numFmtId="0" fontId="19" fillId="3" borderId="23" xfId="0" applyFont="1" applyFill="1" applyBorder="1" applyAlignment="1" applyProtection="1">
      <protection locked="0"/>
    </xf>
    <xf numFmtId="0" fontId="19" fillId="3" borderId="189" xfId="0" applyFont="1" applyFill="1" applyBorder="1" applyAlignment="1" applyProtection="1">
      <protection locked="0"/>
    </xf>
    <xf numFmtId="0" fontId="19" fillId="3" borderId="187" xfId="0" applyFont="1" applyFill="1" applyBorder="1" applyAlignment="1" applyProtection="1">
      <protection locked="0"/>
    </xf>
    <xf numFmtId="0" fontId="19" fillId="3" borderId="188" xfId="0" applyFont="1" applyFill="1" applyBorder="1" applyAlignment="1" applyProtection="1">
      <protection locked="0"/>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102"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02" xfId="0" applyFont="1" applyBorder="1" applyAlignment="1">
      <alignment horizontal="center" vertical="center"/>
    </xf>
    <xf numFmtId="0" fontId="15" fillId="0" borderId="34" xfId="0" applyFont="1" applyBorder="1" applyAlignment="1">
      <alignment horizontal="right" vertical="center"/>
    </xf>
    <xf numFmtId="0" fontId="15" fillId="0" borderId="13" xfId="0" applyFont="1" applyBorder="1" applyAlignment="1">
      <alignment horizontal="right" vertical="center"/>
    </xf>
    <xf numFmtId="0" fontId="19" fillId="3" borderId="193" xfId="0" applyFont="1" applyFill="1" applyBorder="1" applyAlignment="1" applyProtection="1">
      <alignment vertical="center"/>
      <protection locked="0"/>
    </xf>
    <xf numFmtId="0" fontId="19" fillId="3" borderId="194" xfId="0" applyFont="1" applyFill="1" applyBorder="1" applyAlignment="1" applyProtection="1">
      <alignment vertical="center"/>
      <protection locked="0"/>
    </xf>
    <xf numFmtId="0" fontId="19" fillId="3" borderId="195" xfId="0" applyFont="1" applyFill="1" applyBorder="1" applyAlignment="1" applyProtection="1">
      <alignment vertical="center"/>
      <protection locked="0"/>
    </xf>
    <xf numFmtId="0" fontId="14" fillId="0" borderId="85" xfId="0" applyFont="1" applyBorder="1" applyAlignment="1">
      <alignment vertical="center" wrapText="1"/>
    </xf>
    <xf numFmtId="0" fontId="14" fillId="0" borderId="21" xfId="0" applyFont="1" applyBorder="1" applyAlignment="1">
      <alignment vertical="center" wrapText="1"/>
    </xf>
    <xf numFmtId="0" fontId="14" fillId="0" borderId="102" xfId="0" applyFont="1" applyBorder="1" applyAlignment="1">
      <alignment vertical="center" wrapText="1"/>
    </xf>
    <xf numFmtId="0" fontId="19" fillId="3" borderId="23" xfId="0" applyFont="1" applyFill="1" applyBorder="1" applyAlignment="1" applyProtection="1">
      <alignment vertical="center"/>
      <protection locked="0"/>
    </xf>
    <xf numFmtId="0" fontId="19" fillId="3" borderId="188" xfId="0" applyFont="1" applyFill="1" applyBorder="1" applyAlignment="1" applyProtection="1">
      <alignment vertical="center"/>
      <protection locked="0"/>
    </xf>
    <xf numFmtId="0" fontId="19" fillId="3" borderId="189" xfId="0" applyFont="1" applyFill="1" applyBorder="1" applyAlignment="1" applyProtection="1">
      <alignment vertical="center"/>
      <protection locked="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3258" name="AutoShape 23"/>
        <xdr:cNvSpPr>
          <a:spLocks/>
        </xdr:cNvSpPr>
      </xdr:nvSpPr>
      <xdr:spPr bwMode="auto">
        <a:xfrm>
          <a:off x="0" y="154400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647700</xdr:rowOff>
    </xdr:from>
    <xdr:to>
      <xdr:col>0</xdr:col>
      <xdr:colOff>0</xdr:colOff>
      <xdr:row>55</xdr:row>
      <xdr:rowOff>0</xdr:rowOff>
    </xdr:to>
    <xdr:sp macro="" textlink="">
      <xdr:nvSpPr>
        <xdr:cNvPr id="3259" name="AutoShape 27"/>
        <xdr:cNvSpPr>
          <a:spLocks/>
        </xdr:cNvSpPr>
      </xdr:nvSpPr>
      <xdr:spPr bwMode="auto">
        <a:xfrm>
          <a:off x="0" y="17573625"/>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56</xdr:row>
      <xdr:rowOff>647700</xdr:rowOff>
    </xdr:from>
    <xdr:to>
      <xdr:col>0</xdr:col>
      <xdr:colOff>0</xdr:colOff>
      <xdr:row>57</xdr:row>
      <xdr:rowOff>0</xdr:rowOff>
    </xdr:to>
    <xdr:sp macro="" textlink="">
      <xdr:nvSpPr>
        <xdr:cNvPr id="3260" name="AutoShape 30"/>
        <xdr:cNvSpPr>
          <a:spLocks/>
        </xdr:cNvSpPr>
      </xdr:nvSpPr>
      <xdr:spPr bwMode="auto">
        <a:xfrm>
          <a:off x="0" y="19107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3261" name="AutoShape 32"/>
        <xdr:cNvSpPr>
          <a:spLocks/>
        </xdr:cNvSpPr>
      </xdr:nvSpPr>
      <xdr:spPr bwMode="auto">
        <a:xfrm>
          <a:off x="0" y="10420350"/>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696686</xdr:colOff>
      <xdr:row>1</xdr:row>
      <xdr:rowOff>48986</xdr:rowOff>
    </xdr:from>
    <xdr:to>
      <xdr:col>3</xdr:col>
      <xdr:colOff>1299482</xdr:colOff>
      <xdr:row>2</xdr:row>
      <xdr:rowOff>353786</xdr:rowOff>
    </xdr:to>
    <xdr:pic>
      <xdr:nvPicPr>
        <xdr:cNvPr id="3262"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686" y="824593"/>
          <a:ext cx="3514725" cy="889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9480" name="AutoShape 1"/>
        <xdr:cNvSpPr>
          <a:spLocks/>
        </xdr:cNvSpPr>
      </xdr:nvSpPr>
      <xdr:spPr bwMode="auto">
        <a:xfrm>
          <a:off x="0" y="158210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647700</xdr:rowOff>
    </xdr:from>
    <xdr:to>
      <xdr:col>0</xdr:col>
      <xdr:colOff>0</xdr:colOff>
      <xdr:row>56</xdr:row>
      <xdr:rowOff>0</xdr:rowOff>
    </xdr:to>
    <xdr:sp macro="" textlink="">
      <xdr:nvSpPr>
        <xdr:cNvPr id="19481" name="AutoShape 2"/>
        <xdr:cNvSpPr>
          <a:spLocks/>
        </xdr:cNvSpPr>
      </xdr:nvSpPr>
      <xdr:spPr bwMode="auto">
        <a:xfrm>
          <a:off x="0" y="17954625"/>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57</xdr:row>
      <xdr:rowOff>647700</xdr:rowOff>
    </xdr:from>
    <xdr:to>
      <xdr:col>0</xdr:col>
      <xdr:colOff>0</xdr:colOff>
      <xdr:row>58</xdr:row>
      <xdr:rowOff>0</xdr:rowOff>
    </xdr:to>
    <xdr:sp macro="" textlink="">
      <xdr:nvSpPr>
        <xdr:cNvPr id="19482" name="AutoShape 3"/>
        <xdr:cNvSpPr>
          <a:spLocks/>
        </xdr:cNvSpPr>
      </xdr:nvSpPr>
      <xdr:spPr bwMode="auto">
        <a:xfrm>
          <a:off x="0" y="19488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19483" name="AutoShape 4"/>
        <xdr:cNvSpPr>
          <a:spLocks/>
        </xdr:cNvSpPr>
      </xdr:nvSpPr>
      <xdr:spPr bwMode="auto">
        <a:xfrm>
          <a:off x="0" y="10420350"/>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1</xdr:row>
      <xdr:rowOff>76200</xdr:rowOff>
    </xdr:from>
    <xdr:to>
      <xdr:col>3</xdr:col>
      <xdr:colOff>2238375</xdr:colOff>
      <xdr:row>2</xdr:row>
      <xdr:rowOff>381000</xdr:rowOff>
    </xdr:to>
    <xdr:pic>
      <xdr:nvPicPr>
        <xdr:cNvPr id="19484"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666750"/>
          <a:ext cx="3409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128</xdr:row>
      <xdr:rowOff>28575</xdr:rowOff>
    </xdr:from>
    <xdr:to>
      <xdr:col>15</xdr:col>
      <xdr:colOff>190500</xdr:colOff>
      <xdr:row>129</xdr:row>
      <xdr:rowOff>152400</xdr:rowOff>
    </xdr:to>
    <xdr:sp macro="" textlink="">
      <xdr:nvSpPr>
        <xdr:cNvPr id="1092" name="AutoShape 6"/>
        <xdr:cNvSpPr>
          <a:spLocks/>
        </xdr:cNvSpPr>
      </xdr:nvSpPr>
      <xdr:spPr bwMode="auto">
        <a:xfrm>
          <a:off x="10134600" y="25584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125</xdr:row>
      <xdr:rowOff>28575</xdr:rowOff>
    </xdr:from>
    <xdr:to>
      <xdr:col>15</xdr:col>
      <xdr:colOff>190500</xdr:colOff>
      <xdr:row>126</xdr:row>
      <xdr:rowOff>152400</xdr:rowOff>
    </xdr:to>
    <xdr:sp macro="" textlink="">
      <xdr:nvSpPr>
        <xdr:cNvPr id="1093" name="AutoShape 7"/>
        <xdr:cNvSpPr>
          <a:spLocks/>
        </xdr:cNvSpPr>
      </xdr:nvSpPr>
      <xdr:spPr bwMode="auto">
        <a:xfrm>
          <a:off x="10134600" y="250698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156</xdr:row>
      <xdr:rowOff>28575</xdr:rowOff>
    </xdr:from>
    <xdr:to>
      <xdr:col>15</xdr:col>
      <xdr:colOff>190500</xdr:colOff>
      <xdr:row>157</xdr:row>
      <xdr:rowOff>152400</xdr:rowOff>
    </xdr:to>
    <xdr:sp macro="" textlink="">
      <xdr:nvSpPr>
        <xdr:cNvPr id="1094" name="AutoShape 8"/>
        <xdr:cNvSpPr>
          <a:spLocks/>
        </xdr:cNvSpPr>
      </xdr:nvSpPr>
      <xdr:spPr bwMode="auto">
        <a:xfrm>
          <a:off x="10134600" y="305752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159</xdr:row>
      <xdr:rowOff>28575</xdr:rowOff>
    </xdr:from>
    <xdr:to>
      <xdr:col>15</xdr:col>
      <xdr:colOff>190500</xdr:colOff>
      <xdr:row>160</xdr:row>
      <xdr:rowOff>152400</xdr:rowOff>
    </xdr:to>
    <xdr:sp macro="" textlink="">
      <xdr:nvSpPr>
        <xdr:cNvPr id="1095" name="AutoShape 9"/>
        <xdr:cNvSpPr>
          <a:spLocks/>
        </xdr:cNvSpPr>
      </xdr:nvSpPr>
      <xdr:spPr bwMode="auto">
        <a:xfrm>
          <a:off x="10134600" y="311467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1333500</xdr:colOff>
      <xdr:row>121</xdr:row>
      <xdr:rowOff>85725</xdr:rowOff>
    </xdr:from>
    <xdr:to>
      <xdr:col>15</xdr:col>
      <xdr:colOff>209550</xdr:colOff>
      <xdr:row>124</xdr:row>
      <xdr:rowOff>0</xdr:rowOff>
    </xdr:to>
    <xdr:sp macro="" textlink="">
      <xdr:nvSpPr>
        <xdr:cNvPr id="1096" name="AutoShape 12"/>
        <xdr:cNvSpPr>
          <a:spLocks/>
        </xdr:cNvSpPr>
      </xdr:nvSpPr>
      <xdr:spPr bwMode="auto">
        <a:xfrm>
          <a:off x="10096500" y="24536400"/>
          <a:ext cx="247650" cy="400050"/>
        </a:xfrm>
        <a:prstGeom prst="rightBrace">
          <a:avLst>
            <a:gd name="adj1" fmla="val 13462"/>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131</xdr:row>
      <xdr:rowOff>57150</xdr:rowOff>
    </xdr:from>
    <xdr:to>
      <xdr:col>15</xdr:col>
      <xdr:colOff>295275</xdr:colOff>
      <xdr:row>132</xdr:row>
      <xdr:rowOff>152400</xdr:rowOff>
    </xdr:to>
    <xdr:sp macro="" textlink="">
      <xdr:nvSpPr>
        <xdr:cNvPr id="1097" name="AutoShape 13"/>
        <xdr:cNvSpPr>
          <a:spLocks/>
        </xdr:cNvSpPr>
      </xdr:nvSpPr>
      <xdr:spPr bwMode="auto">
        <a:xfrm>
          <a:off x="10144125" y="26117550"/>
          <a:ext cx="285750" cy="2857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133</xdr:row>
      <xdr:rowOff>85725</xdr:rowOff>
    </xdr:from>
    <xdr:to>
      <xdr:col>15</xdr:col>
      <xdr:colOff>190500</xdr:colOff>
      <xdr:row>136</xdr:row>
      <xdr:rowOff>0</xdr:rowOff>
    </xdr:to>
    <xdr:sp macro="" textlink="">
      <xdr:nvSpPr>
        <xdr:cNvPr id="1098" name="AutoShape 14"/>
        <xdr:cNvSpPr>
          <a:spLocks/>
        </xdr:cNvSpPr>
      </xdr:nvSpPr>
      <xdr:spPr bwMode="auto">
        <a:xfrm>
          <a:off x="10163175" y="26527125"/>
          <a:ext cx="161925" cy="400050"/>
        </a:xfrm>
        <a:prstGeom prst="rightBrace">
          <a:avLst>
            <a:gd name="adj1" fmla="val 20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28575</xdr:rowOff>
    </xdr:from>
    <xdr:to>
      <xdr:col>15</xdr:col>
      <xdr:colOff>190500</xdr:colOff>
      <xdr:row>139</xdr:row>
      <xdr:rowOff>0</xdr:rowOff>
    </xdr:to>
    <xdr:sp macro="" textlink="">
      <xdr:nvSpPr>
        <xdr:cNvPr id="1099" name="AutoShape 15"/>
        <xdr:cNvSpPr>
          <a:spLocks/>
        </xdr:cNvSpPr>
      </xdr:nvSpPr>
      <xdr:spPr bwMode="auto">
        <a:xfrm>
          <a:off x="10134600" y="2705100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145</xdr:row>
      <xdr:rowOff>28575</xdr:rowOff>
    </xdr:from>
    <xdr:to>
      <xdr:col>15</xdr:col>
      <xdr:colOff>190500</xdr:colOff>
      <xdr:row>146</xdr:row>
      <xdr:rowOff>171450</xdr:rowOff>
    </xdr:to>
    <xdr:sp macro="" textlink="">
      <xdr:nvSpPr>
        <xdr:cNvPr id="1100" name="AutoShape 18"/>
        <xdr:cNvSpPr>
          <a:spLocks/>
        </xdr:cNvSpPr>
      </xdr:nvSpPr>
      <xdr:spPr bwMode="auto">
        <a:xfrm>
          <a:off x="10163175" y="285654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140</xdr:row>
      <xdr:rowOff>0</xdr:rowOff>
    </xdr:from>
    <xdr:to>
      <xdr:col>15</xdr:col>
      <xdr:colOff>247650</xdr:colOff>
      <xdr:row>141</xdr:row>
      <xdr:rowOff>152400</xdr:rowOff>
    </xdr:to>
    <xdr:sp macro="" textlink="">
      <xdr:nvSpPr>
        <xdr:cNvPr id="1101" name="AutoShape 21"/>
        <xdr:cNvSpPr>
          <a:spLocks/>
        </xdr:cNvSpPr>
      </xdr:nvSpPr>
      <xdr:spPr bwMode="auto">
        <a:xfrm>
          <a:off x="10172700" y="27527250"/>
          <a:ext cx="209550" cy="342900"/>
        </a:xfrm>
        <a:prstGeom prst="rightBrace">
          <a:avLst>
            <a:gd name="adj1" fmla="val 1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163</xdr:row>
      <xdr:rowOff>0</xdr:rowOff>
    </xdr:from>
    <xdr:to>
      <xdr:col>15</xdr:col>
      <xdr:colOff>190500</xdr:colOff>
      <xdr:row>163</xdr:row>
      <xdr:rowOff>0</xdr:rowOff>
    </xdr:to>
    <xdr:sp macro="" textlink="">
      <xdr:nvSpPr>
        <xdr:cNvPr id="1102" name="AutoShape 22"/>
        <xdr:cNvSpPr>
          <a:spLocks/>
        </xdr:cNvSpPr>
      </xdr:nvSpPr>
      <xdr:spPr bwMode="auto">
        <a:xfrm>
          <a:off x="10163175" y="318897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163</xdr:row>
      <xdr:rowOff>0</xdr:rowOff>
    </xdr:from>
    <xdr:to>
      <xdr:col>15</xdr:col>
      <xdr:colOff>190500</xdr:colOff>
      <xdr:row>163</xdr:row>
      <xdr:rowOff>0</xdr:rowOff>
    </xdr:to>
    <xdr:sp macro="" textlink="">
      <xdr:nvSpPr>
        <xdr:cNvPr id="1103" name="AutoShape 23"/>
        <xdr:cNvSpPr>
          <a:spLocks/>
        </xdr:cNvSpPr>
      </xdr:nvSpPr>
      <xdr:spPr bwMode="auto">
        <a:xfrm>
          <a:off x="10134600" y="318897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119</xdr:row>
      <xdr:rowOff>38100</xdr:rowOff>
    </xdr:from>
    <xdr:to>
      <xdr:col>15</xdr:col>
      <xdr:colOff>219075</xdr:colOff>
      <xdr:row>120</xdr:row>
      <xdr:rowOff>161925</xdr:rowOff>
    </xdr:to>
    <xdr:sp macro="" textlink="">
      <xdr:nvSpPr>
        <xdr:cNvPr id="1104" name="AutoShape 48"/>
        <xdr:cNvSpPr>
          <a:spLocks/>
        </xdr:cNvSpPr>
      </xdr:nvSpPr>
      <xdr:spPr bwMode="auto">
        <a:xfrm>
          <a:off x="10163175" y="24107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164</xdr:row>
      <xdr:rowOff>28575</xdr:rowOff>
    </xdr:from>
    <xdr:to>
      <xdr:col>15</xdr:col>
      <xdr:colOff>190500</xdr:colOff>
      <xdr:row>165</xdr:row>
      <xdr:rowOff>171450</xdr:rowOff>
    </xdr:to>
    <xdr:sp macro="" textlink="">
      <xdr:nvSpPr>
        <xdr:cNvPr id="1105" name="AutoShape 49"/>
        <xdr:cNvSpPr>
          <a:spLocks/>
        </xdr:cNvSpPr>
      </xdr:nvSpPr>
      <xdr:spPr bwMode="auto">
        <a:xfrm>
          <a:off x="10163175" y="320325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0</xdr:row>
      <xdr:rowOff>66675</xdr:rowOff>
    </xdr:from>
    <xdr:to>
      <xdr:col>4</xdr:col>
      <xdr:colOff>209550</xdr:colOff>
      <xdr:row>2</xdr:row>
      <xdr:rowOff>0</xdr:rowOff>
    </xdr:to>
    <xdr:pic>
      <xdr:nvPicPr>
        <xdr:cNvPr id="1106" name="Picture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666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6412" name="AutoShape 3"/>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13" name="AutoShape 4"/>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16414" name="AutoShape 5"/>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415" name="AutoShape 6"/>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416" name="AutoShape 7"/>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17" name="AutoShape 8"/>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16418" name="AutoShape 9"/>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19" name="AutoShape 10"/>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20" name="AutoShape 16"/>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2</xdr:row>
      <xdr:rowOff>190500</xdr:rowOff>
    </xdr:from>
    <xdr:to>
      <xdr:col>3</xdr:col>
      <xdr:colOff>85725</xdr:colOff>
      <xdr:row>5</xdr:row>
      <xdr:rowOff>9525</xdr:rowOff>
    </xdr:to>
    <xdr:pic>
      <xdr:nvPicPr>
        <xdr:cNvPr id="1642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85800"/>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20501" name="AutoShape 1"/>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02" name="AutoShape 2"/>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20503" name="AutoShape 3"/>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20504" name="AutoShape 4"/>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20505" name="AutoShape 5"/>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06" name="AutoShape 6"/>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20507" name="AutoShape 7"/>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08" name="AutoShape 8"/>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09" name="AutoShape 9"/>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2</xdr:row>
      <xdr:rowOff>161925</xdr:rowOff>
    </xdr:from>
    <xdr:to>
      <xdr:col>3</xdr:col>
      <xdr:colOff>142875</xdr:colOff>
      <xdr:row>4</xdr:row>
      <xdr:rowOff>171450</xdr:rowOff>
    </xdr:to>
    <xdr:pic>
      <xdr:nvPicPr>
        <xdr:cNvPr id="20510"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57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51" name="AutoShape 3"/>
        <xdr:cNvSpPr>
          <a:spLocks/>
        </xdr:cNvSpPr>
      </xdr:nvSpPr>
      <xdr:spPr bwMode="auto">
        <a:xfrm>
          <a:off x="9896475" y="70580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52" name="AutoShape 4"/>
        <xdr:cNvSpPr>
          <a:spLocks/>
        </xdr:cNvSpPr>
      </xdr:nvSpPr>
      <xdr:spPr bwMode="auto">
        <a:xfrm>
          <a:off x="9896475" y="6524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53" name="AutoShape 5"/>
        <xdr:cNvSpPr>
          <a:spLocks/>
        </xdr:cNvSpPr>
      </xdr:nvSpPr>
      <xdr:spPr bwMode="auto">
        <a:xfrm>
          <a:off x="9896475" y="589597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54" name="AutoShape 6"/>
        <xdr:cNvSpPr>
          <a:spLocks/>
        </xdr:cNvSpPr>
      </xdr:nvSpPr>
      <xdr:spPr bwMode="auto">
        <a:xfrm>
          <a:off x="9925050" y="7705725"/>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55" name="AutoShape 7"/>
        <xdr:cNvSpPr>
          <a:spLocks/>
        </xdr:cNvSpPr>
      </xdr:nvSpPr>
      <xdr:spPr bwMode="auto">
        <a:xfrm>
          <a:off x="9896475" y="84201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56" name="AutoShape 8"/>
        <xdr:cNvSpPr>
          <a:spLocks/>
        </xdr:cNvSpPr>
      </xdr:nvSpPr>
      <xdr:spPr bwMode="auto">
        <a:xfrm>
          <a:off x="9906000" y="90582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57" name="AutoShape 9"/>
        <xdr:cNvSpPr>
          <a:spLocks/>
        </xdr:cNvSpPr>
      </xdr:nvSpPr>
      <xdr:spPr bwMode="auto">
        <a:xfrm>
          <a:off x="9934575" y="9620250"/>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58" name="AutoShape 16"/>
        <xdr:cNvSpPr>
          <a:spLocks/>
        </xdr:cNvSpPr>
      </xdr:nvSpPr>
      <xdr:spPr bwMode="auto">
        <a:xfrm>
          <a:off x="9896475" y="11306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59" name="AutoShape 17"/>
        <xdr:cNvSpPr>
          <a:spLocks/>
        </xdr:cNvSpPr>
      </xdr:nvSpPr>
      <xdr:spPr bwMode="auto">
        <a:xfrm>
          <a:off x="9896475" y="11877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60" name="AutoShape 22"/>
        <xdr:cNvSpPr>
          <a:spLocks/>
        </xdr:cNvSpPr>
      </xdr:nvSpPr>
      <xdr:spPr bwMode="auto">
        <a:xfrm>
          <a:off x="9934575" y="5381625"/>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0</xdr:row>
      <xdr:rowOff>276225</xdr:rowOff>
    </xdr:from>
    <xdr:to>
      <xdr:col>2</xdr:col>
      <xdr:colOff>276225</xdr:colOff>
      <xdr:row>3</xdr:row>
      <xdr:rowOff>28575</xdr:rowOff>
    </xdr:to>
    <xdr:pic>
      <xdr:nvPicPr>
        <xdr:cNvPr id="17461"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76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29" name="Line 5"/>
        <xdr:cNvSpPr>
          <a:spLocks noChangeShapeType="1"/>
        </xdr:cNvSpPr>
      </xdr:nvSpPr>
      <xdr:spPr bwMode="auto">
        <a:xfrm>
          <a:off x="6572250" y="1524000"/>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30" name="Line 6"/>
        <xdr:cNvSpPr>
          <a:spLocks noChangeShapeType="1"/>
        </xdr:cNvSpPr>
      </xdr:nvSpPr>
      <xdr:spPr bwMode="auto">
        <a:xfrm flipH="1">
          <a:off x="6562725" y="1533525"/>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xdr:row>
      <xdr:rowOff>1</xdr:rowOff>
    </xdr:from>
    <xdr:to>
      <xdr:col>2</xdr:col>
      <xdr:colOff>1190626</xdr:colOff>
      <xdr:row>3</xdr:row>
      <xdr:rowOff>101457</xdr:rowOff>
    </xdr:to>
    <xdr:pic>
      <xdr:nvPicPr>
        <xdr:cNvPr id="2" name="Picture 12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200026"/>
          <a:ext cx="1943100" cy="491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100"/>
  <sheetViews>
    <sheetView topLeftCell="A58" zoomScaleNormal="85" zoomScaleSheetLayoutView="100" workbookViewId="0">
      <selection activeCell="C64" sqref="C64"/>
    </sheetView>
  </sheetViews>
  <sheetFormatPr defaultRowHeight="15" x14ac:dyDescent="0.2"/>
  <cols>
    <col min="1" max="1" width="4.88671875" customWidth="1"/>
    <col min="2" max="2" width="77" customWidth="1"/>
  </cols>
  <sheetData>
    <row r="1" spans="1:5" ht="30" x14ac:dyDescent="0.2">
      <c r="A1" s="377"/>
      <c r="B1" s="378" t="s">
        <v>304</v>
      </c>
    </row>
    <row r="2" spans="1:5" x14ac:dyDescent="0.2">
      <c r="A2" s="377"/>
      <c r="B2" s="425"/>
    </row>
    <row r="3" spans="1:5" x14ac:dyDescent="0.2">
      <c r="A3" s="377"/>
      <c r="B3" s="377"/>
      <c r="D3" s="147"/>
      <c r="E3" s="148"/>
    </row>
    <row r="4" spans="1:5" x14ac:dyDescent="0.2">
      <c r="A4" s="377"/>
      <c r="B4" s="378" t="s">
        <v>267</v>
      </c>
    </row>
    <row r="5" spans="1:5" x14ac:dyDescent="0.2">
      <c r="A5" s="377"/>
      <c r="B5" s="377"/>
    </row>
    <row r="6" spans="1:5" x14ac:dyDescent="0.2">
      <c r="A6" s="377"/>
      <c r="B6" s="126" t="s">
        <v>150</v>
      </c>
    </row>
    <row r="7" spans="1:5" x14ac:dyDescent="0.2">
      <c r="A7" s="377"/>
      <c r="B7" s="126"/>
    </row>
    <row r="8" spans="1:5" ht="42.75" x14ac:dyDescent="0.2">
      <c r="A8" s="379">
        <v>1</v>
      </c>
      <c r="B8" s="380" t="s">
        <v>268</v>
      </c>
    </row>
    <row r="9" spans="1:5" x14ac:dyDescent="0.2">
      <c r="A9" s="379"/>
      <c r="B9" s="377"/>
    </row>
    <row r="10" spans="1:5" ht="71.25" x14ac:dyDescent="0.2">
      <c r="A10" s="379">
        <v>2</v>
      </c>
      <c r="B10" s="381" t="s">
        <v>269</v>
      </c>
    </row>
    <row r="11" spans="1:5" x14ac:dyDescent="0.2">
      <c r="A11" s="379"/>
      <c r="B11" s="382"/>
    </row>
    <row r="12" spans="1:5" ht="28.5" x14ac:dyDescent="0.2">
      <c r="A12" s="379">
        <v>3</v>
      </c>
      <c r="B12" s="377" t="s">
        <v>270</v>
      </c>
    </row>
    <row r="13" spans="1:5" x14ac:dyDescent="0.2">
      <c r="A13" s="379"/>
      <c r="B13" s="382"/>
    </row>
    <row r="14" spans="1:5" ht="28.5" x14ac:dyDescent="0.2">
      <c r="A14" s="379">
        <v>4</v>
      </c>
      <c r="B14" s="377" t="s">
        <v>271</v>
      </c>
    </row>
    <row r="15" spans="1:5" x14ac:dyDescent="0.2">
      <c r="A15" s="379"/>
      <c r="B15" s="377"/>
    </row>
    <row r="16" spans="1:5" ht="28.5" x14ac:dyDescent="0.2">
      <c r="A16" s="379">
        <v>5</v>
      </c>
      <c r="B16" s="377" t="s">
        <v>272</v>
      </c>
    </row>
    <row r="17" spans="1:2" x14ac:dyDescent="0.2">
      <c r="A17" s="379"/>
      <c r="B17" s="377"/>
    </row>
    <row r="18" spans="1:2" ht="28.5" x14ac:dyDescent="0.2">
      <c r="A18" s="379">
        <v>6</v>
      </c>
      <c r="B18" s="382" t="s">
        <v>273</v>
      </c>
    </row>
    <row r="19" spans="1:2" x14ac:dyDescent="0.2">
      <c r="A19" s="379"/>
      <c r="B19" s="382"/>
    </row>
    <row r="20" spans="1:2" ht="57" x14ac:dyDescent="0.2">
      <c r="A20" s="379">
        <v>7</v>
      </c>
      <c r="B20" s="380" t="s">
        <v>274</v>
      </c>
    </row>
    <row r="21" spans="1:2" x14ac:dyDescent="0.2">
      <c r="A21" s="379"/>
      <c r="B21" s="377"/>
    </row>
    <row r="22" spans="1:2" ht="28.5" x14ac:dyDescent="0.2">
      <c r="A22" s="379">
        <v>8</v>
      </c>
      <c r="B22" s="377" t="s">
        <v>275</v>
      </c>
    </row>
    <row r="23" spans="1:2" x14ac:dyDescent="0.2">
      <c r="A23" s="379"/>
      <c r="B23" s="377"/>
    </row>
    <row r="24" spans="1:2" ht="42.75" x14ac:dyDescent="0.2">
      <c r="A24" s="379">
        <v>9</v>
      </c>
      <c r="B24" s="377" t="s">
        <v>276</v>
      </c>
    </row>
    <row r="25" spans="1:2" x14ac:dyDescent="0.2">
      <c r="A25" s="379"/>
      <c r="B25" s="377"/>
    </row>
    <row r="26" spans="1:2" ht="60" x14ac:dyDescent="0.2">
      <c r="A26" s="379">
        <v>10</v>
      </c>
      <c r="B26" s="383" t="s">
        <v>277</v>
      </c>
    </row>
    <row r="27" spans="1:2" x14ac:dyDescent="0.2">
      <c r="A27" s="379"/>
      <c r="B27" s="378"/>
    </row>
    <row r="28" spans="1:2" ht="30" x14ac:dyDescent="0.2">
      <c r="A28" s="379">
        <v>11</v>
      </c>
      <c r="B28" s="378" t="s">
        <v>151</v>
      </c>
    </row>
    <row r="29" spans="1:2" x14ac:dyDescent="0.2">
      <c r="A29" s="379"/>
      <c r="B29" s="378"/>
    </row>
    <row r="30" spans="1:2" ht="28.5" x14ac:dyDescent="0.2">
      <c r="A30" s="379">
        <v>12</v>
      </c>
      <c r="B30" s="377" t="s">
        <v>278</v>
      </c>
    </row>
    <row r="31" spans="1:2" x14ac:dyDescent="0.2">
      <c r="A31" s="379"/>
      <c r="B31" s="377"/>
    </row>
    <row r="32" spans="1:2" x14ac:dyDescent="0.2">
      <c r="A32" s="379">
        <v>13</v>
      </c>
      <c r="B32" s="380" t="s">
        <v>279</v>
      </c>
    </row>
    <row r="33" spans="1:2" x14ac:dyDescent="0.2">
      <c r="A33" s="379"/>
      <c r="B33" s="380"/>
    </row>
    <row r="34" spans="1:2" x14ac:dyDescent="0.2">
      <c r="A34" s="379">
        <v>14</v>
      </c>
      <c r="B34" s="380" t="s">
        <v>280</v>
      </c>
    </row>
    <row r="35" spans="1:2" x14ac:dyDescent="0.2">
      <c r="A35" s="379"/>
      <c r="B35" s="377"/>
    </row>
    <row r="36" spans="1:2" x14ac:dyDescent="0.2">
      <c r="A36" s="379"/>
      <c r="B36" s="378"/>
    </row>
    <row r="37" spans="1:2" x14ac:dyDescent="0.2">
      <c r="A37" s="379"/>
      <c r="B37" s="378" t="s">
        <v>152</v>
      </c>
    </row>
    <row r="38" spans="1:2" x14ac:dyDescent="0.2">
      <c r="A38" s="379"/>
      <c r="B38" s="377"/>
    </row>
    <row r="39" spans="1:2" x14ac:dyDescent="0.2">
      <c r="A39" s="379">
        <v>1</v>
      </c>
      <c r="B39" s="377" t="s">
        <v>153</v>
      </c>
    </row>
    <row r="40" spans="1:2" x14ac:dyDescent="0.2">
      <c r="A40" s="379"/>
      <c r="B40" s="377"/>
    </row>
    <row r="41" spans="1:2" ht="28.5" x14ac:dyDescent="0.2">
      <c r="A41" s="379">
        <v>2</v>
      </c>
      <c r="B41" s="377" t="s">
        <v>281</v>
      </c>
    </row>
    <row r="42" spans="1:2" x14ac:dyDescent="0.2">
      <c r="A42" s="379"/>
      <c r="B42" s="126"/>
    </row>
    <row r="43" spans="1:2" x14ac:dyDescent="0.2">
      <c r="A43" s="379">
        <v>3</v>
      </c>
      <c r="B43" s="377" t="s">
        <v>154</v>
      </c>
    </row>
    <row r="44" spans="1:2" x14ac:dyDescent="0.2">
      <c r="A44" s="379"/>
      <c r="B44" s="377"/>
    </row>
    <row r="45" spans="1:2" ht="28.5" x14ac:dyDescent="0.2">
      <c r="A45" s="379">
        <v>4</v>
      </c>
      <c r="B45" s="377" t="s">
        <v>155</v>
      </c>
    </row>
    <row r="46" spans="1:2" x14ac:dyDescent="0.2">
      <c r="A46" s="379"/>
      <c r="B46" s="382"/>
    </row>
    <row r="47" spans="1:2" ht="28.5" x14ac:dyDescent="0.2">
      <c r="A47" s="379">
        <v>5</v>
      </c>
      <c r="B47" s="377" t="s">
        <v>156</v>
      </c>
    </row>
    <row r="48" spans="1:2" x14ac:dyDescent="0.2">
      <c r="A48" s="379"/>
      <c r="B48" s="377"/>
    </row>
    <row r="49" spans="1:2" ht="57" x14ac:dyDescent="0.2">
      <c r="A49" s="379">
        <v>6</v>
      </c>
      <c r="B49" s="380" t="s">
        <v>157</v>
      </c>
    </row>
    <row r="50" spans="1:2" x14ac:dyDescent="0.2">
      <c r="A50" s="379"/>
      <c r="B50" s="377"/>
    </row>
    <row r="51" spans="1:2" ht="42.75" x14ac:dyDescent="0.2">
      <c r="A51" s="379">
        <v>7</v>
      </c>
      <c r="B51" s="377" t="s">
        <v>419</v>
      </c>
    </row>
    <row r="52" spans="1:2" x14ac:dyDescent="0.2">
      <c r="A52" s="379"/>
      <c r="B52" s="377"/>
    </row>
    <row r="53" spans="1:2" ht="57" x14ac:dyDescent="0.2">
      <c r="A53" s="379">
        <v>8</v>
      </c>
      <c r="B53" s="380" t="s">
        <v>158</v>
      </c>
    </row>
    <row r="54" spans="1:2" x14ac:dyDescent="0.2">
      <c r="A54" s="379"/>
      <c r="B54" s="380"/>
    </row>
    <row r="55" spans="1:2" ht="42.75" x14ac:dyDescent="0.2">
      <c r="A55" s="379">
        <v>9</v>
      </c>
      <c r="B55" s="380" t="s">
        <v>282</v>
      </c>
    </row>
    <row r="56" spans="1:2" x14ac:dyDescent="0.2">
      <c r="A56" s="379"/>
      <c r="B56" s="377"/>
    </row>
    <row r="57" spans="1:2" ht="28.5" x14ac:dyDescent="0.2">
      <c r="A57" s="379">
        <v>10</v>
      </c>
      <c r="B57" s="377" t="s">
        <v>283</v>
      </c>
    </row>
    <row r="58" spans="1:2" x14ac:dyDescent="0.2">
      <c r="A58" s="379"/>
      <c r="B58" s="380"/>
    </row>
    <row r="59" spans="1:2" ht="28.5" x14ac:dyDescent="0.2">
      <c r="A59" s="379">
        <v>11</v>
      </c>
      <c r="B59" s="380" t="s">
        <v>284</v>
      </c>
    </row>
    <row r="60" spans="1:2" x14ac:dyDescent="0.2">
      <c r="A60" s="379"/>
      <c r="B60" s="380"/>
    </row>
    <row r="61" spans="1:2" ht="42.75" x14ac:dyDescent="0.2">
      <c r="A61" s="379">
        <v>12</v>
      </c>
      <c r="B61" s="380" t="s">
        <v>285</v>
      </c>
    </row>
    <row r="62" spans="1:2" x14ac:dyDescent="0.2">
      <c r="A62" s="379"/>
      <c r="B62" s="377"/>
    </row>
    <row r="63" spans="1:2" ht="15.75" x14ac:dyDescent="0.2">
      <c r="A63" s="1486" t="s">
        <v>38</v>
      </c>
      <c r="B63" s="1487" t="s">
        <v>627</v>
      </c>
    </row>
    <row r="64" spans="1:2" x14ac:dyDescent="0.2">
      <c r="A64" s="1488"/>
      <c r="B64" s="1489"/>
    </row>
    <row r="65" spans="1:2" ht="45" x14ac:dyDescent="0.2">
      <c r="A65" s="1488"/>
      <c r="B65" s="1490" t="s">
        <v>628</v>
      </c>
    </row>
    <row r="66" spans="1:2" x14ac:dyDescent="0.2">
      <c r="A66" s="1488"/>
      <c r="B66" s="1489"/>
    </row>
    <row r="67" spans="1:2" x14ac:dyDescent="0.2">
      <c r="A67" s="1488" t="s">
        <v>492</v>
      </c>
      <c r="B67" s="1489" t="s">
        <v>629</v>
      </c>
    </row>
    <row r="68" spans="1:2" x14ac:dyDescent="0.2">
      <c r="A68" s="1488"/>
      <c r="B68" s="1489"/>
    </row>
    <row r="69" spans="1:2" x14ac:dyDescent="0.2">
      <c r="A69" s="1488" t="s">
        <v>493</v>
      </c>
      <c r="B69" s="1489" t="s">
        <v>630</v>
      </c>
    </row>
    <row r="70" spans="1:2" x14ac:dyDescent="0.2">
      <c r="A70" s="1488"/>
      <c r="B70" s="1489"/>
    </row>
    <row r="71" spans="1:2" ht="30" x14ac:dyDescent="0.2">
      <c r="A71" s="1488" t="s">
        <v>494</v>
      </c>
      <c r="B71" s="1489" t="s">
        <v>631</v>
      </c>
    </row>
    <row r="72" spans="1:2" x14ac:dyDescent="0.2">
      <c r="A72" s="1488"/>
      <c r="B72" s="1489"/>
    </row>
    <row r="73" spans="1:2" x14ac:dyDescent="0.2">
      <c r="A73" s="1488" t="s">
        <v>495</v>
      </c>
      <c r="B73" s="1491" t="s">
        <v>632</v>
      </c>
    </row>
    <row r="74" spans="1:2" x14ac:dyDescent="0.2">
      <c r="A74" s="1488"/>
      <c r="B74" s="1489"/>
    </row>
    <row r="75" spans="1:2" ht="30" x14ac:dyDescent="0.2">
      <c r="A75" s="1488" t="s">
        <v>633</v>
      </c>
      <c r="B75" s="1489" t="s">
        <v>634</v>
      </c>
    </row>
    <row r="76" spans="1:2" x14ac:dyDescent="0.2">
      <c r="A76" s="1488"/>
      <c r="B76" s="1489"/>
    </row>
    <row r="77" spans="1:2" ht="30" x14ac:dyDescent="0.2">
      <c r="A77" s="1488" t="s">
        <v>635</v>
      </c>
      <c r="B77" s="1491" t="s">
        <v>636</v>
      </c>
    </row>
    <row r="78" spans="1:2" x14ac:dyDescent="0.2">
      <c r="A78" s="1488"/>
      <c r="B78" s="1489"/>
    </row>
    <row r="79" spans="1:2" ht="30" x14ac:dyDescent="0.2">
      <c r="A79" s="1488" t="s">
        <v>637</v>
      </c>
      <c r="B79" s="1489" t="s">
        <v>638</v>
      </c>
    </row>
    <row r="80" spans="1:2" x14ac:dyDescent="0.2">
      <c r="A80" s="1488"/>
      <c r="B80" s="1489"/>
    </row>
    <row r="81" spans="1:2" x14ac:dyDescent="0.2">
      <c r="A81" s="1488"/>
      <c r="B81" s="1489"/>
    </row>
    <row r="82" spans="1:2" x14ac:dyDescent="0.2">
      <c r="A82" s="1488">
        <f>A61+1</f>
        <v>13</v>
      </c>
      <c r="B82" s="1489" t="s">
        <v>24</v>
      </c>
    </row>
    <row r="83" spans="1:2" ht="25.5" x14ac:dyDescent="0.2">
      <c r="A83" s="1488"/>
      <c r="B83" s="1492" t="s">
        <v>639</v>
      </c>
    </row>
    <row r="97" spans="1:1" x14ac:dyDescent="0.2">
      <c r="A97" s="418" t="s">
        <v>289</v>
      </c>
    </row>
    <row r="100" spans="1:1" x14ac:dyDescent="0.2">
      <c r="A100" s="426" t="s">
        <v>312</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3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zoomScaleNormal="100" workbookViewId="0">
      <selection activeCell="K16" sqref="K16"/>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408"/>
      <c r="B1" s="1131"/>
      <c r="C1" s="1131"/>
      <c r="D1" s="1131"/>
      <c r="E1" s="1131"/>
      <c r="F1" s="1131"/>
      <c r="G1" s="1131"/>
      <c r="H1" s="1131"/>
      <c r="I1" s="1131"/>
      <c r="J1" s="1131"/>
      <c r="K1" s="1131" t="s">
        <v>574</v>
      </c>
      <c r="L1" s="1134"/>
    </row>
    <row r="2" spans="1:12" ht="15.75" x14ac:dyDescent="0.25">
      <c r="A2" s="1409"/>
      <c r="B2" s="1137"/>
      <c r="C2" s="1137"/>
      <c r="D2" s="1137"/>
      <c r="E2" s="1137"/>
      <c r="F2" s="1410" t="s">
        <v>575</v>
      </c>
      <c r="G2" s="1137"/>
      <c r="H2" s="1137"/>
      <c r="I2" s="1137"/>
      <c r="J2" s="1137"/>
      <c r="K2" s="1137"/>
      <c r="L2" s="1411"/>
    </row>
    <row r="3" spans="1:12" x14ac:dyDescent="0.2">
      <c r="A3" s="1409"/>
      <c r="B3" s="1137"/>
      <c r="C3" s="1137"/>
      <c r="D3" s="1137"/>
      <c r="E3" s="1137"/>
      <c r="F3" s="1137"/>
      <c r="G3" s="1137"/>
      <c r="H3" s="1137"/>
      <c r="I3" s="1137"/>
      <c r="J3" s="1137"/>
      <c r="K3" s="1137"/>
      <c r="L3" s="1139"/>
    </row>
    <row r="4" spans="1:12" x14ac:dyDescent="0.2">
      <c r="A4" s="1409"/>
      <c r="B4" s="1137"/>
      <c r="C4" s="1137"/>
      <c r="D4" s="1137"/>
      <c r="E4" s="1137"/>
      <c r="F4" s="1412" t="s">
        <v>576</v>
      </c>
      <c r="G4" s="1413"/>
      <c r="H4" s="1137"/>
      <c r="I4" s="1137"/>
      <c r="J4" s="1204" t="s">
        <v>4</v>
      </c>
      <c r="K4" s="1137" t="s">
        <v>459</v>
      </c>
      <c r="L4" s="1414"/>
    </row>
    <row r="5" spans="1:12" x14ac:dyDescent="0.2">
      <c r="A5" s="1409"/>
      <c r="B5" s="1137"/>
      <c r="C5" s="1137"/>
      <c r="D5" s="1137"/>
      <c r="E5" s="1137"/>
      <c r="F5" s="1137"/>
      <c r="G5" s="1137"/>
      <c r="H5" s="1137"/>
      <c r="I5" s="1137"/>
      <c r="J5" s="1137"/>
      <c r="K5" s="1137"/>
      <c r="L5" s="1415"/>
    </row>
    <row r="6" spans="1:12" x14ac:dyDescent="0.2">
      <c r="A6" s="1409"/>
      <c r="B6" s="1147" t="s">
        <v>577</v>
      </c>
      <c r="C6" s="1137"/>
      <c r="D6" s="1147" t="s">
        <v>459</v>
      </c>
      <c r="E6" s="1846"/>
      <c r="F6" s="1847"/>
      <c r="G6" s="1847"/>
      <c r="H6" s="1847"/>
      <c r="I6" s="1847"/>
      <c r="J6" s="1847"/>
      <c r="K6" s="1847"/>
      <c r="L6" s="1848"/>
    </row>
    <row r="7" spans="1:12" x14ac:dyDescent="0.2">
      <c r="A7" s="1409"/>
      <c r="B7" s="1147"/>
      <c r="C7" s="1137"/>
      <c r="D7" s="1147"/>
      <c r="E7" s="1849"/>
      <c r="F7" s="1849"/>
      <c r="G7" s="1849"/>
      <c r="H7" s="1849"/>
      <c r="I7" s="1849"/>
      <c r="J7" s="1849"/>
      <c r="K7" s="1849"/>
      <c r="L7" s="1850"/>
    </row>
    <row r="8" spans="1:12" x14ac:dyDescent="0.2">
      <c r="A8" s="1409"/>
      <c r="B8" s="1147"/>
      <c r="C8" s="1137"/>
      <c r="D8" s="1147"/>
      <c r="E8" s="1416"/>
      <c r="F8" s="1417"/>
      <c r="G8" s="1417"/>
      <c r="H8" s="1417"/>
      <c r="I8" s="1417"/>
      <c r="J8" s="1417"/>
      <c r="K8" s="1417"/>
      <c r="L8" s="1418"/>
    </row>
    <row r="9" spans="1:12" x14ac:dyDescent="0.2">
      <c r="A9" s="1409"/>
      <c r="B9" s="1137"/>
      <c r="C9" s="1137"/>
      <c r="D9" s="1137"/>
      <c r="E9" s="1419" t="s">
        <v>578</v>
      </c>
      <c r="F9" s="1420"/>
      <c r="G9" s="1421"/>
      <c r="H9" s="147"/>
      <c r="I9" s="1421"/>
      <c r="K9" s="1421"/>
      <c r="L9" s="1415"/>
    </row>
    <row r="10" spans="1:12" x14ac:dyDescent="0.2">
      <c r="A10" s="1409"/>
      <c r="B10" s="1137"/>
      <c r="C10" s="1422"/>
      <c r="D10" s="1137"/>
      <c r="E10" s="1423"/>
      <c r="F10" s="1424"/>
      <c r="G10" s="1424"/>
      <c r="H10" s="1424"/>
      <c r="I10" s="1424"/>
      <c r="J10" s="1424"/>
      <c r="K10" s="1148"/>
      <c r="L10" s="1425"/>
    </row>
    <row r="11" spans="1:12" x14ac:dyDescent="0.2">
      <c r="A11" s="1409"/>
      <c r="B11" s="1147" t="s">
        <v>579</v>
      </c>
      <c r="C11" s="1137"/>
      <c r="D11" s="1147" t="s">
        <v>459</v>
      </c>
      <c r="E11" s="1851"/>
      <c r="F11" s="1852"/>
      <c r="G11" s="1852"/>
      <c r="H11" s="1852"/>
      <c r="I11" s="1852"/>
      <c r="J11" s="1852"/>
      <c r="K11" s="1852"/>
      <c r="L11" s="1853"/>
    </row>
    <row r="12" spans="1:12" x14ac:dyDescent="0.2">
      <c r="A12" s="1409"/>
      <c r="B12" s="1147" t="s">
        <v>580</v>
      </c>
      <c r="C12" s="1137"/>
      <c r="D12" s="1137"/>
      <c r="E12" s="1854"/>
      <c r="F12" s="1855"/>
      <c r="G12" s="1855"/>
      <c r="H12" s="1855"/>
      <c r="I12" s="1855"/>
      <c r="J12" s="1855"/>
      <c r="K12" s="1137" t="s">
        <v>581</v>
      </c>
      <c r="L12" s="1426"/>
    </row>
    <row r="13" spans="1:12" x14ac:dyDescent="0.2">
      <c r="A13" s="1409"/>
      <c r="B13" s="1147" t="s">
        <v>582</v>
      </c>
      <c r="C13" s="1137"/>
      <c r="D13" s="1147" t="s">
        <v>459</v>
      </c>
      <c r="E13" s="1427"/>
      <c r="F13" s="1148"/>
      <c r="G13" s="1137"/>
      <c r="H13" s="1412" t="s">
        <v>583</v>
      </c>
      <c r="I13" s="1206" t="s">
        <v>459</v>
      </c>
      <c r="J13" s="1427"/>
      <c r="K13" s="1148"/>
      <c r="L13" s="1139"/>
    </row>
    <row r="14" spans="1:12" x14ac:dyDescent="0.2">
      <c r="A14" s="1409"/>
      <c r="B14" s="1137"/>
      <c r="C14" s="1137"/>
      <c r="D14" s="1137"/>
      <c r="E14" s="1137"/>
      <c r="F14" s="1137"/>
      <c r="G14" s="1137"/>
      <c r="H14" s="1137"/>
      <c r="I14" s="1137"/>
      <c r="J14" s="1137"/>
      <c r="K14" s="1137"/>
      <c r="L14" s="1139"/>
    </row>
    <row r="15" spans="1:12" x14ac:dyDescent="0.2">
      <c r="A15" s="1409"/>
      <c r="B15" s="1147" t="s">
        <v>584</v>
      </c>
      <c r="C15" s="1137"/>
      <c r="D15" s="1147" t="s">
        <v>459</v>
      </c>
      <c r="E15" s="1427"/>
      <c r="F15" s="1148"/>
      <c r="G15" s="1137"/>
      <c r="H15" s="1412" t="s">
        <v>585</v>
      </c>
      <c r="I15" s="1206" t="s">
        <v>459</v>
      </c>
      <c r="J15" s="1428"/>
      <c r="K15" s="1424"/>
      <c r="L15" s="1139"/>
    </row>
    <row r="16" spans="1:12" x14ac:dyDescent="0.2">
      <c r="A16" s="1409"/>
      <c r="B16" s="1147"/>
      <c r="C16" s="1137"/>
      <c r="D16" s="1147"/>
      <c r="E16" s="1147"/>
      <c r="F16" s="1137"/>
      <c r="G16" s="1137"/>
      <c r="H16" s="1147"/>
      <c r="I16" s="1147"/>
      <c r="J16" s="1147"/>
      <c r="K16" s="1137"/>
      <c r="L16" s="1378"/>
    </row>
    <row r="17" spans="1:12" ht="15.75" x14ac:dyDescent="0.25">
      <c r="A17" s="1429"/>
      <c r="B17" s="1147" t="s">
        <v>586</v>
      </c>
      <c r="C17" s="1137"/>
      <c r="D17" s="1137"/>
      <c r="E17" s="1137"/>
      <c r="F17" s="1137"/>
      <c r="G17" s="1137"/>
      <c r="H17" s="1137"/>
      <c r="I17" s="1137"/>
      <c r="J17" s="1137"/>
      <c r="K17" s="1137"/>
      <c r="L17" s="1284" t="s">
        <v>587</v>
      </c>
    </row>
    <row r="18" spans="1:12" x14ac:dyDescent="0.2">
      <c r="A18" s="1856" t="s">
        <v>588</v>
      </c>
      <c r="B18" s="1137"/>
      <c r="C18" s="1137"/>
      <c r="D18" s="1137"/>
      <c r="E18" s="1137"/>
      <c r="F18" s="1321"/>
      <c r="G18" s="1137"/>
      <c r="H18" s="1137"/>
      <c r="I18" s="1137"/>
      <c r="J18" s="1137"/>
      <c r="K18" s="1137"/>
      <c r="L18" s="1430"/>
    </row>
    <row r="19" spans="1:12" x14ac:dyDescent="0.2">
      <c r="A19" s="1857"/>
      <c r="B19" s="1147" t="s">
        <v>589</v>
      </c>
      <c r="C19" s="1137"/>
      <c r="D19" s="1147" t="s">
        <v>459</v>
      </c>
      <c r="E19" s="1321" t="s">
        <v>590</v>
      </c>
      <c r="F19" s="1321"/>
      <c r="G19" s="1137"/>
      <c r="H19" s="1137" t="s">
        <v>591</v>
      </c>
      <c r="I19" s="1137"/>
      <c r="J19" s="1137"/>
      <c r="K19" s="1137"/>
      <c r="L19" s="1431"/>
    </row>
    <row r="20" spans="1:12" x14ac:dyDescent="0.2">
      <c r="A20" s="1857"/>
      <c r="B20" s="1137"/>
      <c r="C20" s="1137"/>
      <c r="D20" s="1137"/>
      <c r="E20" s="1137"/>
      <c r="F20" s="1137"/>
      <c r="G20" s="1137"/>
      <c r="H20" s="1194" t="s">
        <v>592</v>
      </c>
      <c r="I20" s="1137"/>
      <c r="J20" s="1194"/>
      <c r="K20" s="1137"/>
      <c r="L20" s="1432"/>
    </row>
    <row r="21" spans="1:12" x14ac:dyDescent="0.2">
      <c r="A21" s="1858"/>
      <c r="B21" s="1137"/>
      <c r="C21" s="1137"/>
      <c r="D21" s="1137"/>
      <c r="E21" s="1137"/>
      <c r="F21" s="1137"/>
      <c r="G21" s="1137"/>
      <c r="H21" s="1839" t="s">
        <v>593</v>
      </c>
      <c r="I21" s="1137"/>
      <c r="J21" s="1839" t="s">
        <v>594</v>
      </c>
      <c r="K21" s="1137"/>
      <c r="L21" s="1381"/>
    </row>
    <row r="22" spans="1:12" x14ac:dyDescent="0.2">
      <c r="A22" s="1433" t="s">
        <v>595</v>
      </c>
      <c r="B22" s="1147" t="s">
        <v>596</v>
      </c>
      <c r="C22" s="1137"/>
      <c r="D22" s="1147" t="s">
        <v>459</v>
      </c>
      <c r="E22" s="1321"/>
      <c r="F22" s="1137"/>
      <c r="G22" s="1137"/>
      <c r="H22" s="1840"/>
      <c r="I22" s="1137"/>
      <c r="J22" s="1840"/>
      <c r="K22" s="1137"/>
      <c r="L22" s="1431"/>
    </row>
    <row r="23" spans="1:12" x14ac:dyDescent="0.2">
      <c r="A23" s="1434"/>
      <c r="B23" s="1147"/>
      <c r="C23" s="1138" t="s">
        <v>597</v>
      </c>
      <c r="D23" s="1138"/>
      <c r="E23" s="1138"/>
      <c r="F23" s="1138"/>
      <c r="G23" s="1138"/>
      <c r="H23" s="1435"/>
      <c r="I23" s="1138"/>
      <c r="J23" s="1435"/>
      <c r="K23" s="1137"/>
      <c r="L23" s="1436"/>
    </row>
    <row r="24" spans="1:12" x14ac:dyDescent="0.2">
      <c r="A24" s="1434"/>
      <c r="B24" s="1147"/>
      <c r="C24" s="1137" t="s">
        <v>598</v>
      </c>
      <c r="D24" s="1147"/>
      <c r="E24" s="1137"/>
      <c r="F24" s="1137"/>
      <c r="G24" s="1137"/>
      <c r="H24" s="1437"/>
      <c r="I24" s="1137"/>
      <c r="J24" s="1437"/>
      <c r="K24" s="1137"/>
      <c r="L24" s="1436"/>
    </row>
    <row r="25" spans="1:12" x14ac:dyDescent="0.2">
      <c r="A25" s="1434"/>
      <c r="B25" s="1137"/>
      <c r="C25" s="1137" t="s">
        <v>599</v>
      </c>
      <c r="D25" s="1147"/>
      <c r="E25" s="1137"/>
      <c r="F25" s="1137"/>
      <c r="G25" s="1137"/>
      <c r="H25" s="1438"/>
      <c r="I25" s="1137"/>
      <c r="J25" s="1438"/>
      <c r="K25" s="1137"/>
      <c r="L25" s="1381"/>
    </row>
    <row r="26" spans="1:12" x14ac:dyDescent="0.2">
      <c r="A26" s="1434"/>
      <c r="B26" s="1137"/>
      <c r="C26" s="1137" t="s">
        <v>600</v>
      </c>
      <c r="D26" s="1321"/>
      <c r="E26" s="1137"/>
      <c r="F26" s="1137"/>
      <c r="G26" s="1137"/>
      <c r="H26" s="1438"/>
      <c r="I26" s="1137"/>
      <c r="J26" s="1438"/>
      <c r="K26" s="1137"/>
      <c r="L26" s="1381"/>
    </row>
    <row r="27" spans="1:12" x14ac:dyDescent="0.2">
      <c r="A27" s="1434"/>
      <c r="C27" s="1321"/>
      <c r="H27" s="1438"/>
      <c r="I27" s="1137"/>
      <c r="J27" s="1438"/>
      <c r="K27" s="1137"/>
      <c r="L27" s="1436"/>
    </row>
    <row r="28" spans="1:12" ht="15.75" thickBot="1" x14ac:dyDescent="0.25">
      <c r="A28" s="1434"/>
      <c r="B28" s="1147" t="s">
        <v>601</v>
      </c>
      <c r="C28" s="1137" t="s">
        <v>602</v>
      </c>
      <c r="D28" s="1137"/>
      <c r="E28" s="1137"/>
      <c r="F28" s="1137"/>
      <c r="G28" s="1137"/>
      <c r="H28" s="1439"/>
      <c r="I28" s="1137"/>
      <c r="J28" s="1440"/>
      <c r="K28" s="1137"/>
      <c r="L28" s="1381"/>
    </row>
    <row r="29" spans="1:12" ht="15.75" thickBot="1" x14ac:dyDescent="0.25">
      <c r="A29" s="1434"/>
      <c r="B29" s="1137"/>
      <c r="C29" s="1137"/>
      <c r="D29" s="1147"/>
      <c r="E29" s="1137"/>
      <c r="F29" s="1137"/>
      <c r="G29" s="1441" t="s">
        <v>603</v>
      </c>
      <c r="H29" s="1442">
        <f>SUM(H23:H28)</f>
        <v>0</v>
      </c>
      <c r="I29" s="1137"/>
      <c r="J29" s="1443">
        <f>SUM(J24:J28)</f>
        <v>0</v>
      </c>
      <c r="K29" s="1137"/>
      <c r="L29" s="1431">
        <f>J29</f>
        <v>0</v>
      </c>
    </row>
    <row r="30" spans="1:12" x14ac:dyDescent="0.2">
      <c r="A30" s="1434"/>
      <c r="B30" s="1137"/>
      <c r="C30" s="1137"/>
      <c r="D30" s="1137"/>
      <c r="E30" s="1137"/>
      <c r="F30" s="1137"/>
      <c r="G30" s="1137"/>
      <c r="H30" s="1137"/>
      <c r="I30" s="1137"/>
      <c r="J30" s="1444"/>
      <c r="K30" s="1137"/>
      <c r="L30" s="1381"/>
    </row>
    <row r="31" spans="1:12" x14ac:dyDescent="0.2">
      <c r="A31" s="1434"/>
      <c r="B31" s="1137"/>
      <c r="C31" s="1137"/>
      <c r="D31" s="1137"/>
      <c r="E31" s="1137"/>
      <c r="F31" s="1137"/>
      <c r="G31" s="1137"/>
      <c r="H31" s="1836" t="s">
        <v>604</v>
      </c>
      <c r="I31" s="1837"/>
      <c r="J31" s="1838"/>
      <c r="K31" s="1137"/>
      <c r="L31" s="1381"/>
    </row>
    <row r="32" spans="1:12" x14ac:dyDescent="0.2">
      <c r="A32" s="1434"/>
      <c r="B32" s="1147" t="s">
        <v>605</v>
      </c>
      <c r="C32" s="1137"/>
      <c r="D32" s="1137"/>
      <c r="E32" s="1137"/>
      <c r="F32" s="1137"/>
      <c r="G32" s="1137"/>
      <c r="H32" s="1839" t="s">
        <v>593</v>
      </c>
      <c r="I32" s="1445"/>
      <c r="J32" s="1839" t="s">
        <v>594</v>
      </c>
      <c r="K32" s="1137"/>
      <c r="L32" s="1381"/>
    </row>
    <row r="33" spans="1:12" x14ac:dyDescent="0.2">
      <c r="A33" s="1434"/>
      <c r="B33" s="1137"/>
      <c r="C33" s="1137"/>
      <c r="D33" s="1137"/>
      <c r="E33" s="1137"/>
      <c r="F33" s="1137"/>
      <c r="G33" s="1137"/>
      <c r="H33" s="1840"/>
      <c r="I33" s="1446"/>
      <c r="J33" s="1840"/>
      <c r="K33" s="1137"/>
      <c r="L33" s="1381"/>
    </row>
    <row r="34" spans="1:12" x14ac:dyDescent="0.2">
      <c r="A34" s="1433" t="s">
        <v>606</v>
      </c>
      <c r="B34" s="1147" t="s">
        <v>607</v>
      </c>
      <c r="C34" s="1137"/>
      <c r="D34" s="1147" t="s">
        <v>459</v>
      </c>
      <c r="E34" s="1447"/>
      <c r="F34" s="1448"/>
      <c r="G34" s="1449"/>
      <c r="H34" s="1437"/>
      <c r="I34" s="1169"/>
      <c r="J34" s="1437"/>
      <c r="K34" s="1137"/>
      <c r="L34" s="1381"/>
    </row>
    <row r="35" spans="1:12" x14ac:dyDescent="0.2">
      <c r="A35" s="1433"/>
      <c r="B35" s="1147" t="s">
        <v>337</v>
      </c>
      <c r="C35" s="1321"/>
      <c r="D35" s="1450"/>
      <c r="E35" s="1321"/>
      <c r="F35" s="1841"/>
      <c r="G35" s="1842"/>
      <c r="H35" s="1439"/>
      <c r="I35" s="1169"/>
      <c r="J35" s="1439"/>
      <c r="K35" s="1137"/>
      <c r="L35" s="1381"/>
    </row>
    <row r="36" spans="1:12" x14ac:dyDescent="0.2">
      <c r="A36" s="1433" t="s">
        <v>608</v>
      </c>
      <c r="B36" s="1147" t="s">
        <v>609</v>
      </c>
      <c r="C36" s="1321"/>
      <c r="D36" s="1450"/>
      <c r="E36" s="1321"/>
      <c r="F36" s="1841"/>
      <c r="G36" s="1842"/>
      <c r="H36" s="1437"/>
      <c r="I36" s="1169"/>
      <c r="J36" s="1437"/>
      <c r="K36" s="1137"/>
      <c r="L36" s="1381"/>
    </row>
    <row r="37" spans="1:12" ht="15.75" thickBot="1" x14ac:dyDescent="0.25">
      <c r="A37" s="1433"/>
      <c r="B37" s="1137"/>
      <c r="C37" s="1321"/>
      <c r="D37" s="1321"/>
      <c r="E37" s="1321"/>
      <c r="F37" s="1321"/>
      <c r="G37" s="1321"/>
      <c r="H37" s="1439"/>
      <c r="I37" s="1169"/>
      <c r="J37" s="1439"/>
      <c r="K37" s="1137"/>
      <c r="L37" s="1381"/>
    </row>
    <row r="38" spans="1:12" ht="15.75" thickBot="1" x14ac:dyDescent="0.25">
      <c r="A38" s="1434"/>
      <c r="B38" s="1137"/>
      <c r="C38" s="1843" t="s">
        <v>610</v>
      </c>
      <c r="D38" s="1843"/>
      <c r="E38" s="1843"/>
      <c r="F38" s="1843"/>
      <c r="G38" s="1843"/>
      <c r="H38" s="1442">
        <f>SUM(H34:H37)</f>
        <v>0</v>
      </c>
      <c r="I38" s="1137"/>
      <c r="J38" s="1451">
        <f>SUM(J34:J37)</f>
        <v>0</v>
      </c>
      <c r="K38" s="1137"/>
      <c r="L38" s="1431">
        <f>J38</f>
        <v>0</v>
      </c>
    </row>
    <row r="39" spans="1:12" x14ac:dyDescent="0.2">
      <c r="A39" s="1452"/>
      <c r="B39" s="1137"/>
      <c r="C39" s="1321"/>
      <c r="D39" s="1321"/>
      <c r="E39" s="1321"/>
      <c r="F39" s="1321"/>
      <c r="G39" s="1321"/>
      <c r="H39" s="1137"/>
      <c r="I39" s="1137"/>
      <c r="J39" s="1268"/>
      <c r="K39" s="1137"/>
      <c r="L39" s="1381"/>
    </row>
    <row r="40" spans="1:12" x14ac:dyDescent="0.2">
      <c r="A40" s="1452"/>
      <c r="B40" s="1147" t="s">
        <v>611</v>
      </c>
      <c r="C40" s="1321"/>
      <c r="D40" s="1321"/>
      <c r="E40" s="1321"/>
      <c r="F40" s="1321"/>
      <c r="G40" s="1321"/>
      <c r="H40" s="1836" t="s">
        <v>612</v>
      </c>
      <c r="I40" s="1837"/>
      <c r="J40" s="1838"/>
      <c r="K40" s="1137"/>
      <c r="L40" s="1381"/>
    </row>
    <row r="41" spans="1:12" x14ac:dyDescent="0.2">
      <c r="A41" s="1452"/>
      <c r="B41" s="1137"/>
      <c r="C41" s="1321"/>
      <c r="D41" s="1321"/>
      <c r="E41" s="1321"/>
      <c r="F41" s="1321"/>
      <c r="G41" s="1321"/>
      <c r="H41" s="1839" t="s">
        <v>593</v>
      </c>
      <c r="I41" s="1445"/>
      <c r="J41" s="1839" t="s">
        <v>594</v>
      </c>
      <c r="K41" s="1137"/>
      <c r="L41" s="1381"/>
    </row>
    <row r="42" spans="1:12" x14ac:dyDescent="0.2">
      <c r="A42" s="1452"/>
      <c r="B42" s="1137"/>
      <c r="C42" s="1321"/>
      <c r="D42" s="1321"/>
      <c r="E42" s="1321"/>
      <c r="F42" s="1321"/>
      <c r="G42" s="1321"/>
      <c r="H42" s="1840"/>
      <c r="I42" s="1446"/>
      <c r="J42" s="1840"/>
      <c r="K42" s="1137"/>
      <c r="L42" s="1381"/>
    </row>
    <row r="43" spans="1:12" x14ac:dyDescent="0.2">
      <c r="A43" s="1433" t="s">
        <v>315</v>
      </c>
      <c r="B43" s="1147" t="s">
        <v>613</v>
      </c>
      <c r="C43" s="1321"/>
      <c r="D43" s="1450"/>
      <c r="E43" s="1321"/>
      <c r="F43" s="1841"/>
      <c r="G43" s="1842"/>
      <c r="H43" s="1453"/>
      <c r="I43" s="1137"/>
      <c r="J43" s="1453"/>
      <c r="K43" s="1137"/>
      <c r="L43" s="1381"/>
    </row>
    <row r="44" spans="1:12" x14ac:dyDescent="0.2">
      <c r="A44" s="1433"/>
      <c r="B44" s="1137"/>
      <c r="C44" s="1321"/>
      <c r="D44" s="1321"/>
      <c r="E44" s="1321"/>
      <c r="F44" s="1321"/>
      <c r="G44" s="1454"/>
      <c r="H44" s="1439"/>
      <c r="I44" s="1137"/>
      <c r="J44" s="1439"/>
      <c r="K44" s="1137"/>
      <c r="L44" s="1381"/>
    </row>
    <row r="45" spans="1:12" x14ac:dyDescent="0.2">
      <c r="A45" s="1433" t="s">
        <v>315</v>
      </c>
      <c r="B45" s="1147" t="s">
        <v>614</v>
      </c>
      <c r="C45" s="1321"/>
      <c r="D45" s="1450"/>
      <c r="E45" s="1321"/>
      <c r="F45" s="1448"/>
      <c r="G45" s="1449"/>
      <c r="H45" s="1437"/>
      <c r="I45" s="1137"/>
      <c r="J45" s="1437"/>
      <c r="K45" s="1137"/>
      <c r="L45" s="1381"/>
    </row>
    <row r="46" spans="1:12" ht="15.75" thickBot="1" x14ac:dyDescent="0.25">
      <c r="A46" s="1433"/>
      <c r="B46" s="1137"/>
      <c r="C46" s="1321"/>
      <c r="D46" s="1321"/>
      <c r="E46" s="1321"/>
      <c r="F46" s="1321"/>
      <c r="G46" s="1454"/>
      <c r="H46" s="1439"/>
      <c r="I46" s="1137"/>
      <c r="J46" s="1439"/>
      <c r="K46" s="1137"/>
      <c r="L46" s="1381"/>
    </row>
    <row r="47" spans="1:12" ht="15.75" thickBot="1" x14ac:dyDescent="0.25">
      <c r="A47" s="1452"/>
      <c r="B47" s="1844" t="s">
        <v>615</v>
      </c>
      <c r="C47" s="1845"/>
      <c r="D47" s="1845"/>
      <c r="E47" s="1845"/>
      <c r="F47" s="1845"/>
      <c r="G47" s="1845"/>
      <c r="H47" s="1455">
        <f>SUM(H43:H46)</f>
        <v>0</v>
      </c>
      <c r="I47" s="1137"/>
      <c r="J47" s="1451">
        <f>SUM(J43:J46)</f>
        <v>0</v>
      </c>
      <c r="K47" s="1137"/>
      <c r="L47" s="1431">
        <f>J47</f>
        <v>0</v>
      </c>
    </row>
    <row r="48" spans="1:12" x14ac:dyDescent="0.2">
      <c r="A48" s="1452"/>
      <c r="B48" s="1137"/>
      <c r="C48" s="1137"/>
      <c r="D48" s="1137"/>
      <c r="E48" s="1137"/>
      <c r="F48" s="1137"/>
      <c r="G48" s="1137"/>
      <c r="H48" s="1320"/>
      <c r="I48" s="1137"/>
      <c r="J48" s="1137"/>
      <c r="K48" s="1137"/>
      <c r="L48" s="1381"/>
    </row>
    <row r="49" spans="1:12" ht="16.5" thickBot="1" x14ac:dyDescent="0.3">
      <c r="A49" s="1456" t="s">
        <v>616</v>
      </c>
      <c r="B49" s="1457" t="s">
        <v>337</v>
      </c>
      <c r="C49" s="1458"/>
      <c r="D49" s="1458"/>
      <c r="E49" s="1458"/>
      <c r="F49" s="147"/>
      <c r="G49" s="1204" t="s">
        <v>617</v>
      </c>
      <c r="H49" s="1459"/>
      <c r="I49" s="1138"/>
      <c r="J49" s="1460"/>
      <c r="K49" s="1137"/>
      <c r="L49" s="1461">
        <f>J49</f>
        <v>0</v>
      </c>
    </row>
    <row r="50" spans="1:12" ht="15.75" thickBot="1" x14ac:dyDescent="0.25">
      <c r="A50" s="1452"/>
      <c r="B50" s="1458"/>
      <c r="C50" s="1462"/>
      <c r="D50" s="1412"/>
      <c r="E50" s="1412"/>
      <c r="F50" s="147"/>
      <c r="G50" s="1412" t="s">
        <v>618</v>
      </c>
      <c r="H50" s="1463">
        <f>SUM(H23:H28)+SUM(H34:H36)+SUM(H43:H45)+H49</f>
        <v>0</v>
      </c>
      <c r="I50" s="1138"/>
      <c r="J50" s="1463">
        <f>SUM(J23:J28)+SUM(J34:J36)+SUM(J43:J45)+J49</f>
        <v>0</v>
      </c>
      <c r="K50" s="1137"/>
      <c r="L50" s="1381"/>
    </row>
    <row r="51" spans="1:12" x14ac:dyDescent="0.2">
      <c r="A51" s="1452"/>
      <c r="B51" s="1462"/>
      <c r="C51" s="1462"/>
      <c r="D51" s="1462"/>
      <c r="E51" s="1137"/>
      <c r="F51" s="1137"/>
      <c r="G51" s="1137"/>
      <c r="H51" s="1137"/>
      <c r="I51" s="1137"/>
      <c r="J51" s="1137"/>
      <c r="K51" s="1137"/>
      <c r="L51" s="1436"/>
    </row>
    <row r="52" spans="1:12" x14ac:dyDescent="0.2">
      <c r="A52" s="1452"/>
      <c r="B52" s="1464"/>
      <c r="C52" s="1464"/>
      <c r="D52" s="1464"/>
      <c r="E52" s="1157"/>
      <c r="F52" s="1324"/>
      <c r="G52" s="1324"/>
      <c r="H52" s="1324"/>
      <c r="I52" s="1324"/>
      <c r="J52" s="1324"/>
      <c r="K52" s="1324"/>
      <c r="L52" s="1430"/>
    </row>
    <row r="53" spans="1:12" x14ac:dyDescent="0.2">
      <c r="A53" s="1452"/>
      <c r="B53" s="1321"/>
      <c r="C53" s="1321"/>
      <c r="D53" s="1321"/>
      <c r="E53" s="1267" t="s">
        <v>619</v>
      </c>
      <c r="F53" s="1137"/>
      <c r="G53" s="1137"/>
      <c r="H53" s="1137"/>
      <c r="I53" s="1137"/>
      <c r="J53" s="1137"/>
      <c r="K53" s="1137"/>
      <c r="L53" s="1465">
        <f>SUM(L18:L47)</f>
        <v>0</v>
      </c>
    </row>
    <row r="54" spans="1:12" x14ac:dyDescent="0.2">
      <c r="A54" s="1452"/>
      <c r="B54" s="1321"/>
      <c r="C54" s="1321"/>
      <c r="D54" s="1321"/>
      <c r="E54" s="1267" t="s">
        <v>620</v>
      </c>
      <c r="F54" s="1466">
        <v>0.14000000000000001</v>
      </c>
      <c r="G54" s="1137" t="s">
        <v>621</v>
      </c>
      <c r="H54" s="1467">
        <f>L53</f>
        <v>0</v>
      </c>
      <c r="I54" s="1137"/>
      <c r="J54" s="1137"/>
      <c r="K54" s="1137"/>
      <c r="L54" s="1436">
        <f>F54*L53</f>
        <v>0</v>
      </c>
    </row>
    <row r="55" spans="1:12" ht="15.75" thickBot="1" x14ac:dyDescent="0.25">
      <c r="A55" s="1452"/>
      <c r="B55" s="1321"/>
      <c r="C55" s="1321"/>
      <c r="D55" s="1321"/>
      <c r="E55" s="1169" t="s">
        <v>622</v>
      </c>
      <c r="F55" s="1137"/>
      <c r="G55" s="1137"/>
      <c r="H55" s="1137"/>
      <c r="I55" s="1137"/>
      <c r="J55" s="1137"/>
      <c r="K55" s="1137"/>
      <c r="L55" s="1468">
        <f>L49</f>
        <v>0</v>
      </c>
    </row>
    <row r="56" spans="1:12" ht="15.75" thickBot="1" x14ac:dyDescent="0.25">
      <c r="A56" s="1452"/>
      <c r="B56" s="1469"/>
      <c r="C56" s="1469"/>
      <c r="D56" s="1469"/>
      <c r="E56" s="1834" t="s">
        <v>623</v>
      </c>
      <c r="F56" s="1835"/>
      <c r="G56" s="1835"/>
      <c r="H56" s="1835"/>
      <c r="I56" s="1194"/>
      <c r="J56" s="1194"/>
      <c r="K56" s="1194"/>
      <c r="L56" s="1470">
        <f>L53+L54+L55</f>
        <v>0</v>
      </c>
    </row>
    <row r="57" spans="1:12" ht="15.75" thickBot="1" x14ac:dyDescent="0.25">
      <c r="A57" s="1471"/>
      <c r="B57" s="1472" t="s">
        <v>624</v>
      </c>
      <c r="C57" s="1216"/>
      <c r="D57" s="1216"/>
      <c r="E57" s="1216"/>
      <c r="F57" s="1216"/>
      <c r="G57" s="1216"/>
      <c r="H57" s="1216"/>
      <c r="I57" s="1216"/>
      <c r="J57" s="1216"/>
      <c r="K57" s="1216"/>
      <c r="L57" s="1473"/>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rintOptions horizontalCentered="1"/>
  <pageMargins left="0.9055118110236221" right="0.70866141732283472" top="0.74803149606299213" bottom="0.74803149606299213" header="0.31496062992125984" footer="0.31496062992125984"/>
  <pageSetup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82"/>
  <sheetViews>
    <sheetView zoomScale="75" zoomScaleNormal="75" zoomScaleSheetLayoutView="90"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21875" customWidth="1"/>
    <col min="7" max="7" width="7.6640625" customWidth="1"/>
    <col min="8" max="8" width="12.109375" customWidth="1"/>
  </cols>
  <sheetData>
    <row r="1" spans="1:8" ht="18.75" thickTop="1" x14ac:dyDescent="0.2">
      <c r="A1" s="1493" t="s">
        <v>31</v>
      </c>
      <c r="B1" s="169"/>
      <c r="C1" s="169"/>
      <c r="D1" s="169"/>
      <c r="E1" s="169"/>
      <c r="F1" s="169"/>
      <c r="G1" s="169"/>
      <c r="H1" s="170"/>
    </row>
    <row r="2" spans="1:8" ht="15.75" x14ac:dyDescent="0.2">
      <c r="A2" s="257" t="s">
        <v>218</v>
      </c>
      <c r="B2" s="172"/>
      <c r="C2" s="172"/>
      <c r="D2" s="2"/>
      <c r="E2" s="2"/>
      <c r="F2" s="2"/>
      <c r="G2" s="172"/>
      <c r="H2" s="325" t="s">
        <v>231</v>
      </c>
    </row>
    <row r="3" spans="1:8" x14ac:dyDescent="0.2">
      <c r="A3" s="171"/>
      <c r="B3" s="1859" t="s">
        <v>357</v>
      </c>
      <c r="C3" s="1859"/>
      <c r="D3" s="1480">
        <f>'Input Data'!$D$28</f>
        <v>0</v>
      </c>
      <c r="E3" s="179" t="s">
        <v>286</v>
      </c>
      <c r="F3" s="1756">
        <f>'Input Data'!$D$5</f>
        <v>0</v>
      </c>
      <c r="G3" s="1757"/>
      <c r="H3" s="173"/>
    </row>
    <row r="4" spans="1:8" x14ac:dyDescent="0.2">
      <c r="A4" s="174" t="s">
        <v>32</v>
      </c>
      <c r="B4" s="175" t="s">
        <v>4</v>
      </c>
      <c r="C4" s="172" t="s">
        <v>33</v>
      </c>
      <c r="D4" s="176" t="s">
        <v>32</v>
      </c>
      <c r="E4" s="175" t="s">
        <v>4</v>
      </c>
      <c r="F4" s="172" t="s">
        <v>33</v>
      </c>
      <c r="G4" s="172"/>
      <c r="H4" s="173"/>
    </row>
    <row r="5" spans="1:8" x14ac:dyDescent="0.2">
      <c r="A5" s="177" t="s">
        <v>34</v>
      </c>
      <c r="B5" s="178"/>
      <c r="C5" s="178"/>
      <c r="D5" s="179" t="s">
        <v>35</v>
      </c>
      <c r="E5" s="178"/>
      <c r="F5" s="1860"/>
      <c r="G5" s="1861"/>
      <c r="H5" s="1862"/>
    </row>
    <row r="6" spans="1:8" x14ac:dyDescent="0.2">
      <c r="A6" s="177" t="s">
        <v>36</v>
      </c>
      <c r="B6" s="178"/>
      <c r="C6" s="178"/>
      <c r="D6" s="179" t="s">
        <v>37</v>
      </c>
      <c r="E6" s="180"/>
      <c r="F6" s="1860"/>
      <c r="G6" s="1861"/>
      <c r="H6" s="1862"/>
    </row>
    <row r="7" spans="1:8" x14ac:dyDescent="0.2">
      <c r="A7" s="177" t="s">
        <v>38</v>
      </c>
      <c r="B7" s="180"/>
      <c r="C7" s="178"/>
      <c r="D7" s="179" t="s">
        <v>39</v>
      </c>
      <c r="E7" s="180"/>
      <c r="F7" s="1860"/>
      <c r="G7" s="1861"/>
      <c r="H7" s="1862"/>
    </row>
    <row r="8" spans="1:8" ht="15.75" thickBot="1" x14ac:dyDescent="0.25">
      <c r="A8" s="181"/>
      <c r="B8" s="182"/>
      <c r="C8" s="182"/>
      <c r="D8" s="182"/>
      <c r="E8" s="182"/>
      <c r="F8" s="182"/>
      <c r="G8" s="182"/>
      <c r="H8" s="183"/>
    </row>
    <row r="9" spans="1:8" ht="16.5" thickTop="1" thickBot="1" x14ac:dyDescent="0.25">
      <c r="A9" s="326"/>
      <c r="B9" s="326"/>
      <c r="C9" s="326"/>
      <c r="D9" s="326"/>
      <c r="E9" s="326"/>
      <c r="F9" s="326"/>
      <c r="G9" s="326"/>
      <c r="H9" s="326"/>
    </row>
    <row r="10" spans="1:8" ht="15.75" thickTop="1" x14ac:dyDescent="0.2">
      <c r="A10" s="323" t="s">
        <v>131</v>
      </c>
      <c r="B10" s="327"/>
      <c r="C10" s="327"/>
      <c r="D10" s="327"/>
      <c r="E10" s="327"/>
      <c r="F10" s="327"/>
      <c r="G10" s="327"/>
      <c r="H10" s="328"/>
    </row>
    <row r="11" spans="1:8" ht="30" x14ac:dyDescent="0.2">
      <c r="A11" s="908" t="s">
        <v>4</v>
      </c>
      <c r="B11" s="909" t="s">
        <v>40</v>
      </c>
      <c r="C11" s="910" t="s">
        <v>26</v>
      </c>
      <c r="D11" s="910" t="s">
        <v>41</v>
      </c>
      <c r="E11" s="911" t="s">
        <v>42</v>
      </c>
      <c r="F11" s="910" t="s">
        <v>9</v>
      </c>
      <c r="G11" s="910" t="s">
        <v>428</v>
      </c>
      <c r="H11" s="912" t="s">
        <v>43</v>
      </c>
    </row>
    <row r="12" spans="1:8" x14ac:dyDescent="0.2">
      <c r="A12" s="186"/>
      <c r="B12" s="187"/>
      <c r="C12" s="188"/>
      <c r="D12" s="188"/>
      <c r="E12" s="188"/>
      <c r="F12" s="938"/>
      <c r="G12" s="926"/>
      <c r="H12" s="913">
        <f t="shared" ref="H12:H21" si="0">F12*G12</f>
        <v>0</v>
      </c>
    </row>
    <row r="13" spans="1:8" x14ac:dyDescent="0.2">
      <c r="A13" s="189"/>
      <c r="B13" s="190"/>
      <c r="C13" s="191"/>
      <c r="D13" s="191"/>
      <c r="E13" s="191"/>
      <c r="F13" s="939"/>
      <c r="G13" s="927"/>
      <c r="H13" s="914">
        <f t="shared" si="0"/>
        <v>0</v>
      </c>
    </row>
    <row r="14" spans="1:8" x14ac:dyDescent="0.2">
      <c r="A14" s="192"/>
      <c r="B14" s="190"/>
      <c r="C14" s="191"/>
      <c r="D14" s="191"/>
      <c r="E14" s="191"/>
      <c r="F14" s="939"/>
      <c r="G14" s="927"/>
      <c r="H14" s="914">
        <f t="shared" si="0"/>
        <v>0</v>
      </c>
    </row>
    <row r="15" spans="1:8" x14ac:dyDescent="0.2">
      <c r="A15" s="192"/>
      <c r="B15" s="190"/>
      <c r="C15" s="191"/>
      <c r="D15" s="191"/>
      <c r="E15" s="191"/>
      <c r="F15" s="939"/>
      <c r="G15" s="927"/>
      <c r="H15" s="914">
        <f t="shared" si="0"/>
        <v>0</v>
      </c>
    </row>
    <row r="16" spans="1:8" x14ac:dyDescent="0.2">
      <c r="A16" s="192"/>
      <c r="B16" s="190"/>
      <c r="C16" s="191"/>
      <c r="D16" s="191"/>
      <c r="E16" s="191"/>
      <c r="F16" s="939"/>
      <c r="G16" s="927"/>
      <c r="H16" s="914">
        <f t="shared" si="0"/>
        <v>0</v>
      </c>
    </row>
    <row r="17" spans="1:8" x14ac:dyDescent="0.2">
      <c r="A17" s="192"/>
      <c r="B17" s="190"/>
      <c r="C17" s="191"/>
      <c r="D17" s="191"/>
      <c r="E17" s="191"/>
      <c r="F17" s="939"/>
      <c r="G17" s="927"/>
      <c r="H17" s="914">
        <f t="shared" si="0"/>
        <v>0</v>
      </c>
    </row>
    <row r="18" spans="1:8" x14ac:dyDescent="0.2">
      <c r="A18" s="192"/>
      <c r="B18" s="190"/>
      <c r="C18" s="191"/>
      <c r="D18" s="191"/>
      <c r="E18" s="191"/>
      <c r="F18" s="939"/>
      <c r="G18" s="927"/>
      <c r="H18" s="914">
        <f t="shared" si="0"/>
        <v>0</v>
      </c>
    </row>
    <row r="19" spans="1:8" x14ac:dyDescent="0.2">
      <c r="A19" s="192"/>
      <c r="B19" s="190"/>
      <c r="C19" s="191"/>
      <c r="D19" s="191"/>
      <c r="E19" s="191"/>
      <c r="F19" s="939"/>
      <c r="G19" s="927"/>
      <c r="H19" s="914">
        <f t="shared" si="0"/>
        <v>0</v>
      </c>
    </row>
    <row r="20" spans="1:8" x14ac:dyDescent="0.2">
      <c r="A20" s="192"/>
      <c r="B20" s="190"/>
      <c r="C20" s="191"/>
      <c r="D20" s="191"/>
      <c r="E20" s="191"/>
      <c r="F20" s="939"/>
      <c r="G20" s="928"/>
      <c r="H20" s="914">
        <f t="shared" si="0"/>
        <v>0</v>
      </c>
    </row>
    <row r="21" spans="1:8" ht="15.75" thickBot="1" x14ac:dyDescent="0.25">
      <c r="A21" s="193"/>
      <c r="B21" s="194"/>
      <c r="C21" s="195"/>
      <c r="D21" s="195"/>
      <c r="E21" s="195"/>
      <c r="F21" s="940"/>
      <c r="G21" s="929"/>
      <c r="H21" s="915">
        <f t="shared" si="0"/>
        <v>0</v>
      </c>
    </row>
    <row r="22" spans="1:8" x14ac:dyDescent="0.2">
      <c r="A22" s="196"/>
      <c r="B22" s="197"/>
      <c r="C22" s="197"/>
      <c r="D22" s="197"/>
      <c r="E22" s="197"/>
      <c r="F22" s="941"/>
      <c r="G22" s="930" t="s">
        <v>232</v>
      </c>
      <c r="H22" s="916">
        <f>SUM(H12:H21)</f>
        <v>0</v>
      </c>
    </row>
    <row r="23" spans="1:8" ht="15.75" thickBot="1" x14ac:dyDescent="0.25">
      <c r="A23" s="181"/>
      <c r="B23" s="182"/>
      <c r="C23" s="182"/>
      <c r="D23" s="182"/>
      <c r="E23" s="182"/>
      <c r="F23" s="942"/>
      <c r="G23" s="931" t="s">
        <v>358</v>
      </c>
      <c r="H23" s="917"/>
    </row>
    <row r="24" spans="1:8" ht="16.5" thickTop="1" thickBot="1" x14ac:dyDescent="0.25">
      <c r="A24" s="326"/>
      <c r="B24" s="326"/>
      <c r="C24" s="326"/>
      <c r="D24" s="326"/>
      <c r="E24" s="326"/>
      <c r="F24" s="943"/>
      <c r="G24" s="932"/>
      <c r="H24" s="918"/>
    </row>
    <row r="25" spans="1:8" ht="15.75" thickTop="1" x14ac:dyDescent="0.2">
      <c r="A25" s="323" t="s">
        <v>124</v>
      </c>
      <c r="B25" s="327"/>
      <c r="C25" s="327"/>
      <c r="D25" s="327"/>
      <c r="E25" s="327"/>
      <c r="F25" s="944"/>
      <c r="G25" s="933"/>
      <c r="H25" s="919"/>
    </row>
    <row r="26" spans="1:8" ht="30" x14ac:dyDescent="0.2">
      <c r="A26" s="908" t="s">
        <v>4</v>
      </c>
      <c r="B26" s="909" t="s">
        <v>40</v>
      </c>
      <c r="C26" s="910" t="s">
        <v>26</v>
      </c>
      <c r="D26" s="910" t="s">
        <v>41</v>
      </c>
      <c r="E26" s="911" t="s">
        <v>42</v>
      </c>
      <c r="F26" s="945" t="s">
        <v>9</v>
      </c>
      <c r="G26" s="910" t="s">
        <v>428</v>
      </c>
      <c r="H26" s="920" t="s">
        <v>43</v>
      </c>
    </row>
    <row r="27" spans="1:8" x14ac:dyDescent="0.2">
      <c r="A27" s="329"/>
      <c r="B27" s="282"/>
      <c r="C27" s="283"/>
      <c r="D27" s="283"/>
      <c r="E27" s="283"/>
      <c r="F27" s="946"/>
      <c r="G27" s="934"/>
      <c r="H27" s="913">
        <f t="shared" ref="H27:H37" si="1">F27*G27</f>
        <v>0</v>
      </c>
    </row>
    <row r="28" spans="1:8" x14ac:dyDescent="0.2">
      <c r="A28" s="189"/>
      <c r="B28" s="190"/>
      <c r="C28" s="191"/>
      <c r="D28" s="191"/>
      <c r="E28" s="191"/>
      <c r="F28" s="939"/>
      <c r="G28" s="927"/>
      <c r="H28" s="914">
        <f t="shared" si="1"/>
        <v>0</v>
      </c>
    </row>
    <row r="29" spans="1:8" x14ac:dyDescent="0.2">
      <c r="A29" s="192"/>
      <c r="B29" s="190"/>
      <c r="C29" s="191"/>
      <c r="D29" s="191"/>
      <c r="E29" s="191"/>
      <c r="F29" s="939"/>
      <c r="G29" s="927"/>
      <c r="H29" s="914">
        <f t="shared" si="1"/>
        <v>0</v>
      </c>
    </row>
    <row r="30" spans="1:8" x14ac:dyDescent="0.2">
      <c r="A30" s="192"/>
      <c r="B30" s="190"/>
      <c r="C30" s="191"/>
      <c r="D30" s="191"/>
      <c r="E30" s="191"/>
      <c r="F30" s="939"/>
      <c r="G30" s="927"/>
      <c r="H30" s="914">
        <f t="shared" si="1"/>
        <v>0</v>
      </c>
    </row>
    <row r="31" spans="1:8" x14ac:dyDescent="0.2">
      <c r="A31" s="192"/>
      <c r="B31" s="190"/>
      <c r="C31" s="191"/>
      <c r="D31" s="191"/>
      <c r="E31" s="191"/>
      <c r="F31" s="939"/>
      <c r="G31" s="927"/>
      <c r="H31" s="914">
        <f t="shared" si="1"/>
        <v>0</v>
      </c>
    </row>
    <row r="32" spans="1:8" x14ac:dyDescent="0.2">
      <c r="A32" s="192"/>
      <c r="B32" s="190"/>
      <c r="C32" s="191"/>
      <c r="D32" s="191"/>
      <c r="E32" s="191"/>
      <c r="F32" s="939"/>
      <c r="G32" s="927"/>
      <c r="H32" s="914">
        <f t="shared" si="1"/>
        <v>0</v>
      </c>
    </row>
    <row r="33" spans="1:8" x14ac:dyDescent="0.2">
      <c r="A33" s="192"/>
      <c r="B33" s="190"/>
      <c r="C33" s="191"/>
      <c r="D33" s="191"/>
      <c r="E33" s="191"/>
      <c r="F33" s="939"/>
      <c r="G33" s="927"/>
      <c r="H33" s="914">
        <f t="shared" si="1"/>
        <v>0</v>
      </c>
    </row>
    <row r="34" spans="1:8" x14ac:dyDescent="0.2">
      <c r="A34" s="192"/>
      <c r="B34" s="190"/>
      <c r="C34" s="191"/>
      <c r="D34" s="191"/>
      <c r="E34" s="191"/>
      <c r="F34" s="939"/>
      <c r="G34" s="927"/>
      <c r="H34" s="914">
        <f t="shared" si="1"/>
        <v>0</v>
      </c>
    </row>
    <row r="35" spans="1:8" x14ac:dyDescent="0.2">
      <c r="A35" s="192"/>
      <c r="B35" s="190"/>
      <c r="C35" s="191"/>
      <c r="D35" s="191"/>
      <c r="E35" s="191"/>
      <c r="F35" s="939"/>
      <c r="G35" s="927"/>
      <c r="H35" s="914">
        <f t="shared" si="1"/>
        <v>0</v>
      </c>
    </row>
    <row r="36" spans="1:8" x14ac:dyDescent="0.2">
      <c r="A36" s="192"/>
      <c r="B36" s="190"/>
      <c r="C36" s="191"/>
      <c r="D36" s="191"/>
      <c r="E36" s="191"/>
      <c r="F36" s="939"/>
      <c r="G36" s="927"/>
      <c r="H36" s="914">
        <f t="shared" si="1"/>
        <v>0</v>
      </c>
    </row>
    <row r="37" spans="1:8" ht="15.75" thickBot="1" x14ac:dyDescent="0.25">
      <c r="A37" s="193"/>
      <c r="B37" s="194"/>
      <c r="C37" s="195"/>
      <c r="D37" s="195"/>
      <c r="E37" s="195"/>
      <c r="F37" s="940"/>
      <c r="G37" s="935"/>
      <c r="H37" s="915">
        <f t="shared" si="1"/>
        <v>0</v>
      </c>
    </row>
    <row r="38" spans="1:8" x14ac:dyDescent="0.2">
      <c r="A38" s="196"/>
      <c r="B38" s="197"/>
      <c r="C38" s="197"/>
      <c r="D38" s="197"/>
      <c r="E38" s="197"/>
      <c r="F38" s="941"/>
      <c r="G38" s="930" t="s">
        <v>233</v>
      </c>
      <c r="H38" s="916">
        <f>SUM(H27:H37)</f>
        <v>0</v>
      </c>
    </row>
    <row r="39" spans="1:8" ht="15.75" thickBot="1" x14ac:dyDescent="0.25">
      <c r="A39" s="330"/>
      <c r="B39" s="203"/>
      <c r="C39" s="203"/>
      <c r="D39" s="203"/>
      <c r="E39" s="203"/>
      <c r="F39" s="947"/>
      <c r="G39" s="931" t="s">
        <v>358</v>
      </c>
      <c r="H39" s="917"/>
    </row>
    <row r="40" spans="1:8" ht="16.5" thickTop="1" thickBot="1" x14ac:dyDescent="0.25">
      <c r="A40" s="331"/>
      <c r="B40" s="331"/>
      <c r="C40" s="331"/>
      <c r="D40" s="331"/>
      <c r="E40" s="331"/>
      <c r="F40" s="948"/>
      <c r="G40" s="936"/>
      <c r="H40" s="921"/>
    </row>
    <row r="41" spans="1:8" ht="15.75" thickTop="1" x14ac:dyDescent="0.2">
      <c r="A41" s="323" t="s">
        <v>132</v>
      </c>
      <c r="B41" s="327"/>
      <c r="C41" s="327"/>
      <c r="D41" s="327"/>
      <c r="E41" s="327"/>
      <c r="F41" s="944"/>
      <c r="G41" s="933"/>
      <c r="H41" s="919"/>
    </row>
    <row r="42" spans="1:8" ht="30" x14ac:dyDescent="0.2">
      <c r="A42" s="908" t="s">
        <v>4</v>
      </c>
      <c r="B42" s="909" t="s">
        <v>40</v>
      </c>
      <c r="C42" s="910" t="s">
        <v>26</v>
      </c>
      <c r="D42" s="910" t="s">
        <v>41</v>
      </c>
      <c r="E42" s="911" t="s">
        <v>42</v>
      </c>
      <c r="F42" s="945" t="s">
        <v>9</v>
      </c>
      <c r="G42" s="910" t="s">
        <v>428</v>
      </c>
      <c r="H42" s="920" t="s">
        <v>43</v>
      </c>
    </row>
    <row r="43" spans="1:8" x14ac:dyDescent="0.2">
      <c r="A43" s="186"/>
      <c r="B43" s="187"/>
      <c r="C43" s="188"/>
      <c r="D43" s="188"/>
      <c r="E43" s="188"/>
      <c r="F43" s="938"/>
      <c r="G43" s="926"/>
      <c r="H43" s="913">
        <f t="shared" ref="H43:H56" si="2">F43*G43</f>
        <v>0</v>
      </c>
    </row>
    <row r="44" spans="1:8" x14ac:dyDescent="0.2">
      <c r="A44" s="189"/>
      <c r="B44" s="190"/>
      <c r="C44" s="191"/>
      <c r="D44" s="191"/>
      <c r="E44" s="191"/>
      <c r="F44" s="939"/>
      <c r="G44" s="927"/>
      <c r="H44" s="914">
        <f t="shared" si="2"/>
        <v>0</v>
      </c>
    </row>
    <row r="45" spans="1:8" x14ac:dyDescent="0.2">
      <c r="A45" s="192"/>
      <c r="B45" s="190"/>
      <c r="C45" s="191"/>
      <c r="D45" s="191"/>
      <c r="E45" s="191"/>
      <c r="F45" s="939"/>
      <c r="G45" s="927"/>
      <c r="H45" s="914">
        <f t="shared" si="2"/>
        <v>0</v>
      </c>
    </row>
    <row r="46" spans="1:8" x14ac:dyDescent="0.2">
      <c r="A46" s="192"/>
      <c r="B46" s="190"/>
      <c r="C46" s="191"/>
      <c r="D46" s="191"/>
      <c r="E46" s="191"/>
      <c r="F46" s="939"/>
      <c r="G46" s="927"/>
      <c r="H46" s="914">
        <f t="shared" si="2"/>
        <v>0</v>
      </c>
    </row>
    <row r="47" spans="1:8" x14ac:dyDescent="0.2">
      <c r="A47" s="192"/>
      <c r="B47" s="190"/>
      <c r="C47" s="191"/>
      <c r="D47" s="191"/>
      <c r="E47" s="191"/>
      <c r="F47" s="939"/>
      <c r="G47" s="927"/>
      <c r="H47" s="914">
        <f t="shared" si="2"/>
        <v>0</v>
      </c>
    </row>
    <row r="48" spans="1:8" x14ac:dyDescent="0.2">
      <c r="A48" s="192"/>
      <c r="B48" s="190"/>
      <c r="C48" s="191"/>
      <c r="D48" s="191"/>
      <c r="E48" s="191"/>
      <c r="F48" s="939"/>
      <c r="G48" s="927"/>
      <c r="H48" s="914">
        <f t="shared" si="2"/>
        <v>0</v>
      </c>
    </row>
    <row r="49" spans="1:8" x14ac:dyDescent="0.2">
      <c r="A49" s="192"/>
      <c r="B49" s="190"/>
      <c r="C49" s="191"/>
      <c r="D49" s="191"/>
      <c r="E49" s="191"/>
      <c r="F49" s="939"/>
      <c r="G49" s="927"/>
      <c r="H49" s="914">
        <f t="shared" si="2"/>
        <v>0</v>
      </c>
    </row>
    <row r="50" spans="1:8" x14ac:dyDescent="0.2">
      <c r="A50" s="192"/>
      <c r="B50" s="190"/>
      <c r="C50" s="191"/>
      <c r="D50" s="191"/>
      <c r="E50" s="191"/>
      <c r="F50" s="939"/>
      <c r="G50" s="927"/>
      <c r="H50" s="914">
        <f t="shared" si="2"/>
        <v>0</v>
      </c>
    </row>
    <row r="51" spans="1:8" x14ac:dyDescent="0.2">
      <c r="A51" s="192"/>
      <c r="B51" s="190"/>
      <c r="C51" s="191"/>
      <c r="D51" s="191"/>
      <c r="E51" s="191"/>
      <c r="F51" s="939"/>
      <c r="G51" s="927"/>
      <c r="H51" s="914">
        <f t="shared" si="2"/>
        <v>0</v>
      </c>
    </row>
    <row r="52" spans="1:8" x14ac:dyDescent="0.2">
      <c r="A52" s="192"/>
      <c r="B52" s="190"/>
      <c r="C52" s="191"/>
      <c r="D52" s="191"/>
      <c r="E52" s="191"/>
      <c r="F52" s="939"/>
      <c r="G52" s="927"/>
      <c r="H52" s="914">
        <f t="shared" si="2"/>
        <v>0</v>
      </c>
    </row>
    <row r="53" spans="1:8" x14ac:dyDescent="0.2">
      <c r="A53" s="192"/>
      <c r="B53" s="190"/>
      <c r="C53" s="191"/>
      <c r="D53" s="191"/>
      <c r="E53" s="191"/>
      <c r="F53" s="939"/>
      <c r="G53" s="927"/>
      <c r="H53" s="914">
        <f t="shared" si="2"/>
        <v>0</v>
      </c>
    </row>
    <row r="54" spans="1:8" x14ac:dyDescent="0.2">
      <c r="A54" s="192"/>
      <c r="B54" s="190"/>
      <c r="C54" s="191"/>
      <c r="D54" s="191"/>
      <c r="E54" s="191"/>
      <c r="F54" s="939"/>
      <c r="G54" s="927"/>
      <c r="H54" s="914">
        <f t="shared" si="2"/>
        <v>0</v>
      </c>
    </row>
    <row r="55" spans="1:8" x14ac:dyDescent="0.2">
      <c r="A55" s="192"/>
      <c r="B55" s="190"/>
      <c r="C55" s="191"/>
      <c r="D55" s="191"/>
      <c r="E55" s="191"/>
      <c r="F55" s="939"/>
      <c r="G55" s="927"/>
      <c r="H55" s="914">
        <f t="shared" si="2"/>
        <v>0</v>
      </c>
    </row>
    <row r="56" spans="1:8" ht="15.75" thickBot="1" x14ac:dyDescent="0.25">
      <c r="A56" s="193"/>
      <c r="B56" s="194"/>
      <c r="C56" s="195"/>
      <c r="D56" s="195"/>
      <c r="E56" s="195"/>
      <c r="F56" s="940"/>
      <c r="G56" s="935"/>
      <c r="H56" s="915">
        <f t="shared" si="2"/>
        <v>0</v>
      </c>
    </row>
    <row r="57" spans="1:8" x14ac:dyDescent="0.2">
      <c r="A57" s="196"/>
      <c r="B57" s="197"/>
      <c r="C57" s="197"/>
      <c r="D57" s="197"/>
      <c r="E57" s="197"/>
      <c r="F57" s="941"/>
      <c r="G57" s="930" t="s">
        <v>234</v>
      </c>
      <c r="H57" s="916">
        <f>SUM(H43:H56)</f>
        <v>0</v>
      </c>
    </row>
    <row r="58" spans="1:8" x14ac:dyDescent="0.2">
      <c r="A58" s="199"/>
      <c r="B58" s="200"/>
      <c r="C58" s="200"/>
      <c r="D58" s="200"/>
      <c r="E58" s="200"/>
      <c r="F58" s="949"/>
      <c r="G58" s="931" t="s">
        <v>358</v>
      </c>
      <c r="H58" s="922"/>
    </row>
    <row r="59" spans="1:8" x14ac:dyDescent="0.2">
      <c r="A59" s="184" t="s">
        <v>133</v>
      </c>
      <c r="B59" s="185"/>
      <c r="C59" s="185"/>
      <c r="D59" s="185"/>
      <c r="E59" s="185"/>
      <c r="F59" s="950"/>
      <c r="G59" s="937"/>
      <c r="H59" s="923"/>
    </row>
    <row r="60" spans="1:8" ht="30" x14ac:dyDescent="0.2">
      <c r="A60" s="908" t="s">
        <v>4</v>
      </c>
      <c r="B60" s="909" t="s">
        <v>40</v>
      </c>
      <c r="C60" s="910" t="s">
        <v>26</v>
      </c>
      <c r="D60" s="910" t="s">
        <v>41</v>
      </c>
      <c r="E60" s="911" t="s">
        <v>42</v>
      </c>
      <c r="F60" s="945" t="s">
        <v>9</v>
      </c>
      <c r="G60" s="910" t="s">
        <v>428</v>
      </c>
      <c r="H60" s="920" t="s">
        <v>43</v>
      </c>
    </row>
    <row r="61" spans="1:8" x14ac:dyDescent="0.2">
      <c r="A61" s="186"/>
      <c r="B61" s="187"/>
      <c r="C61" s="188"/>
      <c r="D61" s="188"/>
      <c r="E61" s="188"/>
      <c r="F61" s="938"/>
      <c r="G61" s="926"/>
      <c r="H61" s="913">
        <f t="shared" ref="H61:H74" si="3">F61*G61</f>
        <v>0</v>
      </c>
    </row>
    <row r="62" spans="1:8" x14ac:dyDescent="0.2">
      <c r="A62" s="189"/>
      <c r="B62" s="190"/>
      <c r="C62" s="191"/>
      <c r="D62" s="191"/>
      <c r="E62" s="191"/>
      <c r="F62" s="939"/>
      <c r="G62" s="927"/>
      <c r="H62" s="914">
        <f t="shared" si="3"/>
        <v>0</v>
      </c>
    </row>
    <row r="63" spans="1:8" x14ac:dyDescent="0.2">
      <c r="A63" s="192"/>
      <c r="B63" s="190"/>
      <c r="C63" s="191"/>
      <c r="D63" s="191"/>
      <c r="E63" s="191"/>
      <c r="F63" s="939"/>
      <c r="G63" s="927"/>
      <c r="H63" s="914">
        <f t="shared" si="3"/>
        <v>0</v>
      </c>
    </row>
    <row r="64" spans="1:8" x14ac:dyDescent="0.2">
      <c r="A64" s="192"/>
      <c r="B64" s="190"/>
      <c r="C64" s="191"/>
      <c r="D64" s="191"/>
      <c r="E64" s="191"/>
      <c r="F64" s="939"/>
      <c r="G64" s="927"/>
      <c r="H64" s="914">
        <f t="shared" si="3"/>
        <v>0</v>
      </c>
    </row>
    <row r="65" spans="1:8" x14ac:dyDescent="0.2">
      <c r="A65" s="192"/>
      <c r="B65" s="190"/>
      <c r="C65" s="191"/>
      <c r="D65" s="191"/>
      <c r="E65" s="191"/>
      <c r="F65" s="939"/>
      <c r="G65" s="927"/>
      <c r="H65" s="914">
        <f t="shared" si="3"/>
        <v>0</v>
      </c>
    </row>
    <row r="66" spans="1:8" x14ac:dyDescent="0.2">
      <c r="A66" s="192"/>
      <c r="B66" s="190"/>
      <c r="C66" s="191"/>
      <c r="D66" s="191"/>
      <c r="E66" s="191"/>
      <c r="F66" s="939"/>
      <c r="G66" s="927"/>
      <c r="H66" s="914">
        <f t="shared" si="3"/>
        <v>0</v>
      </c>
    </row>
    <row r="67" spans="1:8" x14ac:dyDescent="0.2">
      <c r="A67" s="192"/>
      <c r="B67" s="190"/>
      <c r="C67" s="191"/>
      <c r="D67" s="191"/>
      <c r="E67" s="191"/>
      <c r="F67" s="939"/>
      <c r="G67" s="927"/>
      <c r="H67" s="914">
        <f t="shared" si="3"/>
        <v>0</v>
      </c>
    </row>
    <row r="68" spans="1:8" x14ac:dyDescent="0.2">
      <c r="A68" s="192"/>
      <c r="B68" s="190"/>
      <c r="C68" s="191"/>
      <c r="D68" s="191"/>
      <c r="E68" s="191"/>
      <c r="F68" s="939"/>
      <c r="G68" s="927"/>
      <c r="H68" s="914">
        <f t="shared" si="3"/>
        <v>0</v>
      </c>
    </row>
    <row r="69" spans="1:8" x14ac:dyDescent="0.2">
      <c r="A69" s="192"/>
      <c r="B69" s="190"/>
      <c r="C69" s="191"/>
      <c r="D69" s="191"/>
      <c r="E69" s="191"/>
      <c r="F69" s="939"/>
      <c r="G69" s="927"/>
      <c r="H69" s="914">
        <f t="shared" si="3"/>
        <v>0</v>
      </c>
    </row>
    <row r="70" spans="1:8" x14ac:dyDescent="0.2">
      <c r="A70" s="192"/>
      <c r="B70" s="190"/>
      <c r="C70" s="191"/>
      <c r="D70" s="191"/>
      <c r="E70" s="191"/>
      <c r="F70" s="939"/>
      <c r="G70" s="927"/>
      <c r="H70" s="914">
        <f t="shared" si="3"/>
        <v>0</v>
      </c>
    </row>
    <row r="71" spans="1:8" x14ac:dyDescent="0.2">
      <c r="A71" s="192"/>
      <c r="B71" s="190"/>
      <c r="C71" s="191"/>
      <c r="D71" s="191"/>
      <c r="E71" s="191"/>
      <c r="F71" s="939"/>
      <c r="G71" s="927"/>
      <c r="H71" s="914">
        <f t="shared" si="3"/>
        <v>0</v>
      </c>
    </row>
    <row r="72" spans="1:8" x14ac:dyDescent="0.2">
      <c r="A72" s="192"/>
      <c r="B72" s="190"/>
      <c r="C72" s="191"/>
      <c r="D72" s="191"/>
      <c r="E72" s="191"/>
      <c r="F72" s="939"/>
      <c r="G72" s="927"/>
      <c r="H72" s="914">
        <f t="shared" si="3"/>
        <v>0</v>
      </c>
    </row>
    <row r="73" spans="1:8" x14ac:dyDescent="0.2">
      <c r="A73" s="192"/>
      <c r="B73" s="190"/>
      <c r="C73" s="191"/>
      <c r="D73" s="191"/>
      <c r="E73" s="191"/>
      <c r="F73" s="939"/>
      <c r="G73" s="927"/>
      <c r="H73" s="914">
        <f t="shared" si="3"/>
        <v>0</v>
      </c>
    </row>
    <row r="74" spans="1:8" ht="15.75" thickBot="1" x14ac:dyDescent="0.25">
      <c r="A74" s="193"/>
      <c r="B74" s="194"/>
      <c r="C74" s="195"/>
      <c r="D74" s="195"/>
      <c r="E74" s="195"/>
      <c r="F74" s="940"/>
      <c r="G74" s="935"/>
      <c r="H74" s="915">
        <f t="shared" si="3"/>
        <v>0</v>
      </c>
    </row>
    <row r="75" spans="1:8" x14ac:dyDescent="0.2">
      <c r="A75" s="196"/>
      <c r="B75" s="197"/>
      <c r="C75" s="197"/>
      <c r="D75" s="197"/>
      <c r="E75" s="197"/>
      <c r="F75" s="197"/>
      <c r="G75" s="198" t="s">
        <v>235</v>
      </c>
      <c r="H75" s="916">
        <f>SUM(H61:H74)</f>
        <v>0</v>
      </c>
    </row>
    <row r="76" spans="1:8" ht="15.75" thickBot="1" x14ac:dyDescent="0.25">
      <c r="A76" s="177"/>
      <c r="B76" s="179"/>
      <c r="C76" s="179"/>
      <c r="D76" s="179"/>
      <c r="E76" s="179"/>
      <c r="F76" s="179"/>
      <c r="G76" s="235" t="s">
        <v>358</v>
      </c>
      <c r="H76" s="922"/>
    </row>
    <row r="77" spans="1:8" x14ac:dyDescent="0.2">
      <c r="A77" s="493"/>
      <c r="B77" s="494"/>
      <c r="C77" s="494"/>
      <c r="D77" s="494"/>
      <c r="E77" s="494"/>
      <c r="F77" s="495"/>
      <c r="G77" s="496" t="s">
        <v>217</v>
      </c>
      <c r="H77" s="924">
        <f>H75+H57</f>
        <v>0</v>
      </c>
    </row>
    <row r="78" spans="1:8" ht="15.75" thickBot="1" x14ac:dyDescent="0.25">
      <c r="A78" s="497"/>
      <c r="B78" s="498"/>
      <c r="C78" s="498"/>
      <c r="D78" s="498"/>
      <c r="E78" s="498"/>
      <c r="F78" s="498"/>
      <c r="G78" s="499" t="s">
        <v>358</v>
      </c>
      <c r="H78" s="925">
        <f>H23+H39+H58+H76</f>
        <v>0</v>
      </c>
    </row>
    <row r="79" spans="1:8" ht="15.75" thickTop="1" x14ac:dyDescent="0.2">
      <c r="H79" s="503"/>
    </row>
    <row r="80" spans="1:8" x14ac:dyDescent="0.2">
      <c r="H80" s="222"/>
    </row>
    <row r="81" spans="8:8" x14ac:dyDescent="0.2">
      <c r="H81" s="222"/>
    </row>
    <row r="82" spans="8:8" x14ac:dyDescent="0.2">
      <c r="H82" s="222"/>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5">
    <mergeCell ref="B3:C3"/>
    <mergeCell ref="F5:H5"/>
    <mergeCell ref="F6:H6"/>
    <mergeCell ref="F7:H7"/>
    <mergeCell ref="F3:G3"/>
  </mergeCells>
  <phoneticPr fontId="0" type="noConversion"/>
  <printOptions horizontalCentered="1"/>
  <pageMargins left="0.74803149606299213" right="0.74803149606299213" top="0.78740157480314965" bottom="0.78740157480314965" header="0.51181102362204722" footer="0.51181102362204722"/>
  <pageSetup paperSize="9" scale="60" orientation="portrait" horizontalDpi="4294967293" verticalDpi="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topLeftCell="A16" zoomScale="75" zoomScaleNormal="75" zoomScaleSheetLayoutView="75" workbookViewId="0">
      <selection activeCell="A37" sqref="A37"/>
    </sheetView>
  </sheetViews>
  <sheetFormatPr defaultRowHeight="15" x14ac:dyDescent="0.2"/>
  <cols>
    <col min="1" max="1" width="10" bestFit="1" customWidth="1"/>
    <col min="2" max="2" width="13.109375" customWidth="1"/>
    <col min="3" max="3" width="12.33203125" customWidth="1"/>
    <col min="4" max="4" width="17.5546875" customWidth="1"/>
    <col min="5" max="5" width="19" customWidth="1"/>
    <col min="6" max="7" width="8.33203125" customWidth="1"/>
    <col min="8" max="8" width="8.5546875" customWidth="1"/>
    <col min="9" max="9" width="12.21875" customWidth="1"/>
    <col min="10" max="10" width="17.21875" bestFit="1" customWidth="1"/>
  </cols>
  <sheetData>
    <row r="1" spans="1:9" ht="18.75" thickTop="1" x14ac:dyDescent="0.2">
      <c r="A1" s="1493" t="s">
        <v>44</v>
      </c>
      <c r="B1" s="223"/>
      <c r="C1" s="223"/>
      <c r="D1" s="223"/>
      <c r="E1" s="223"/>
      <c r="F1" s="223"/>
      <c r="G1" s="223"/>
      <c r="H1" s="223"/>
      <c r="I1" s="224"/>
    </row>
    <row r="2" spans="1:9" ht="15.75" x14ac:dyDescent="0.2">
      <c r="A2" s="257" t="s">
        <v>218</v>
      </c>
      <c r="B2" s="125"/>
      <c r="C2" s="125"/>
      <c r="D2" s="125"/>
      <c r="E2" s="2"/>
      <c r="F2" s="275" t="s">
        <v>224</v>
      </c>
      <c r="G2" s="125"/>
      <c r="H2" s="125"/>
      <c r="I2" s="131"/>
    </row>
    <row r="3" spans="1:9" x14ac:dyDescent="0.2">
      <c r="A3" s="1863" t="s">
        <v>356</v>
      </c>
      <c r="B3" s="1755"/>
      <c r="C3" s="1481">
        <f>'Input Data'!$D$28</f>
        <v>0</v>
      </c>
      <c r="D3" s="208"/>
      <c r="E3" s="207" t="s">
        <v>297</v>
      </c>
      <c r="F3" s="1756">
        <f>'Input Data'!$D$5</f>
        <v>0</v>
      </c>
      <c r="G3" s="1757"/>
      <c r="H3" s="1128"/>
      <c r="I3" s="131"/>
    </row>
    <row r="4" spans="1:9" ht="15.75" thickBot="1" x14ac:dyDescent="0.25">
      <c r="A4" s="1129"/>
      <c r="B4" s="1129"/>
      <c r="C4" s="258"/>
      <c r="D4" s="258"/>
      <c r="E4" s="258"/>
      <c r="F4" s="258"/>
      <c r="G4" s="140"/>
      <c r="H4" s="140"/>
      <c r="I4" s="140"/>
    </row>
    <row r="5" spans="1:9" ht="15.75" thickTop="1" x14ac:dyDescent="0.2">
      <c r="A5" s="168" t="s">
        <v>135</v>
      </c>
      <c r="B5" s="127"/>
      <c r="C5" s="127"/>
      <c r="D5" s="127"/>
      <c r="E5" s="127"/>
      <c r="F5" s="127"/>
      <c r="G5" s="127"/>
      <c r="H5" s="127"/>
      <c r="I5" s="128"/>
    </row>
    <row r="6" spans="1:9" ht="30" x14ac:dyDescent="0.2">
      <c r="A6" s="973" t="s">
        <v>45</v>
      </c>
      <c r="B6" s="974" t="s">
        <v>40</v>
      </c>
      <c r="C6" s="974" t="s">
        <v>26</v>
      </c>
      <c r="D6" s="974" t="s">
        <v>46</v>
      </c>
      <c r="E6" s="974" t="s">
        <v>47</v>
      </c>
      <c r="F6" s="974" t="s">
        <v>48</v>
      </c>
      <c r="G6" s="974" t="s">
        <v>227</v>
      </c>
      <c r="H6" s="974" t="s">
        <v>428</v>
      </c>
      <c r="I6" s="975" t="s">
        <v>43</v>
      </c>
    </row>
    <row r="7" spans="1:9" x14ac:dyDescent="0.2">
      <c r="A7" s="315"/>
      <c r="B7" s="278"/>
      <c r="C7" s="278"/>
      <c r="D7" s="278"/>
      <c r="E7" s="278"/>
      <c r="F7" s="350"/>
      <c r="G7" s="1484">
        <f>IF('Input Data'!$H$48&lt;'Input Data'!$H$36,F7,F7-2)</f>
        <v>0</v>
      </c>
      <c r="H7" s="963"/>
      <c r="I7" s="913">
        <f t="shared" ref="I7:I16" si="0">G7*H7</f>
        <v>0</v>
      </c>
    </row>
    <row r="8" spans="1:9" x14ac:dyDescent="0.2">
      <c r="A8" s="254"/>
      <c r="B8" s="249"/>
      <c r="C8" s="249"/>
      <c r="D8" s="249"/>
      <c r="E8" s="249"/>
      <c r="F8" s="351"/>
      <c r="G8" s="349">
        <f>IF('Input Data'!$H$48&lt;'Input Data'!$H$36,F8,F8-2)</f>
        <v>0</v>
      </c>
      <c r="H8" s="964"/>
      <c r="I8" s="914">
        <f t="shared" si="0"/>
        <v>0</v>
      </c>
    </row>
    <row r="9" spans="1:9" x14ac:dyDescent="0.2">
      <c r="A9" s="254"/>
      <c r="B9" s="249"/>
      <c r="C9" s="249"/>
      <c r="D9" s="249"/>
      <c r="E9" s="249"/>
      <c r="F9" s="351"/>
      <c r="G9" s="349">
        <f>IF('Input Data'!$H$48&lt;'Input Data'!$H$36,F9,F9-2)</f>
        <v>0</v>
      </c>
      <c r="H9" s="964"/>
      <c r="I9" s="914">
        <f t="shared" si="0"/>
        <v>0</v>
      </c>
    </row>
    <row r="10" spans="1:9" x14ac:dyDescent="0.2">
      <c r="A10" s="254"/>
      <c r="B10" s="249"/>
      <c r="C10" s="249"/>
      <c r="D10" s="249"/>
      <c r="E10" s="249"/>
      <c r="F10" s="351"/>
      <c r="G10" s="349">
        <f>IF('Input Data'!$H$48&lt;'Input Data'!$H$36,F10,F10-2)</f>
        <v>0</v>
      </c>
      <c r="H10" s="964"/>
      <c r="I10" s="914">
        <f t="shared" si="0"/>
        <v>0</v>
      </c>
    </row>
    <row r="11" spans="1:9" x14ac:dyDescent="0.2">
      <c r="A11" s="254"/>
      <c r="B11" s="249"/>
      <c r="C11" s="249"/>
      <c r="D11" s="249"/>
      <c r="E11" s="249"/>
      <c r="F11" s="351"/>
      <c r="G11" s="349">
        <f>IF('Input Data'!$H$48&lt;'Input Data'!$H$36,F11,F11-2)</f>
        <v>0</v>
      </c>
      <c r="H11" s="964"/>
      <c r="I11" s="914">
        <f t="shared" si="0"/>
        <v>0</v>
      </c>
    </row>
    <row r="12" spans="1:9" x14ac:dyDescent="0.2">
      <c r="A12" s="254"/>
      <c r="B12" s="249"/>
      <c r="C12" s="249"/>
      <c r="D12" s="249"/>
      <c r="E12" s="249"/>
      <c r="F12" s="351"/>
      <c r="G12" s="349">
        <f>IF('Input Data'!$H$48&lt;'Input Data'!$H$36,F12,F12-2)</f>
        <v>0</v>
      </c>
      <c r="H12" s="964"/>
      <c r="I12" s="914">
        <f t="shared" si="0"/>
        <v>0</v>
      </c>
    </row>
    <row r="13" spans="1:9" x14ac:dyDescent="0.2">
      <c r="A13" s="254"/>
      <c r="B13" s="249"/>
      <c r="C13" s="249"/>
      <c r="D13" s="249"/>
      <c r="E13" s="249"/>
      <c r="F13" s="351"/>
      <c r="G13" s="349">
        <f>IF('Input Data'!$H$48&lt;'Input Data'!$H$36,F13,F13-2)</f>
        <v>0</v>
      </c>
      <c r="H13" s="964"/>
      <c r="I13" s="914">
        <f t="shared" si="0"/>
        <v>0</v>
      </c>
    </row>
    <row r="14" spans="1:9" x14ac:dyDescent="0.2">
      <c r="A14" s="254"/>
      <c r="B14" s="249"/>
      <c r="C14" s="249"/>
      <c r="D14" s="249"/>
      <c r="E14" s="249"/>
      <c r="F14" s="351"/>
      <c r="G14" s="349">
        <f>IF('Input Data'!$H$48&lt;'Input Data'!$H$36,F14,F14-2)</f>
        <v>0</v>
      </c>
      <c r="H14" s="964"/>
      <c r="I14" s="914">
        <f t="shared" si="0"/>
        <v>0</v>
      </c>
    </row>
    <row r="15" spans="1:9" x14ac:dyDescent="0.2">
      <c r="A15" s="254"/>
      <c r="B15" s="249"/>
      <c r="C15" s="249"/>
      <c r="D15" s="249"/>
      <c r="E15" s="249"/>
      <c r="F15" s="351"/>
      <c r="G15" s="349">
        <f>IF('Input Data'!$H$48&lt;'Input Data'!$H$36,F15,F15-2)</f>
        <v>0</v>
      </c>
      <c r="H15" s="964"/>
      <c r="I15" s="914">
        <f t="shared" si="0"/>
        <v>0</v>
      </c>
    </row>
    <row r="16" spans="1:9" ht="15.75" thickBot="1" x14ac:dyDescent="0.25">
      <c r="A16" s="316"/>
      <c r="B16" s="317"/>
      <c r="C16" s="317"/>
      <c r="D16" s="317"/>
      <c r="E16" s="317"/>
      <c r="F16" s="352"/>
      <c r="G16" s="1485">
        <f>IF('Input Data'!$H$48&lt;'Input Data'!$H$36,F16,F16-2)</f>
        <v>0</v>
      </c>
      <c r="H16" s="965"/>
      <c r="I16" s="951">
        <f t="shared" si="0"/>
        <v>0</v>
      </c>
    </row>
    <row r="17" spans="1:9" x14ac:dyDescent="0.2">
      <c r="A17" s="318"/>
      <c r="B17" s="319"/>
      <c r="C17" s="319"/>
      <c r="D17" s="319"/>
      <c r="E17" s="319"/>
      <c r="F17" s="319"/>
      <c r="G17" s="319"/>
      <c r="H17" s="966" t="s">
        <v>219</v>
      </c>
      <c r="I17" s="952">
        <f>SUM(I7:I16)</f>
        <v>0</v>
      </c>
    </row>
    <row r="18" spans="1:9" ht="15.75" thickBot="1" x14ac:dyDescent="0.25">
      <c r="A18" s="201"/>
      <c r="B18" s="140"/>
      <c r="C18" s="140"/>
      <c r="D18" s="140"/>
      <c r="E18" s="140"/>
      <c r="F18" s="140"/>
      <c r="G18" s="140"/>
      <c r="H18" s="967" t="s">
        <v>358</v>
      </c>
      <c r="I18" s="953"/>
    </row>
    <row r="19" spans="1:9" ht="15.75" thickTop="1" x14ac:dyDescent="0.2">
      <c r="A19" s="276" t="s">
        <v>49</v>
      </c>
      <c r="B19" s="274"/>
      <c r="C19" s="274"/>
      <c r="D19" s="274"/>
      <c r="E19" s="274"/>
      <c r="F19" s="274"/>
      <c r="G19" s="274"/>
      <c r="H19" s="968"/>
      <c r="I19" s="954"/>
    </row>
    <row r="20" spans="1:9" x14ac:dyDescent="0.2">
      <c r="A20" s="230" t="s">
        <v>50</v>
      </c>
      <c r="B20" s="231" t="s">
        <v>51</v>
      </c>
      <c r="C20" s="231"/>
      <c r="D20" s="231"/>
      <c r="E20" s="125"/>
      <c r="F20" s="125"/>
      <c r="G20" s="231" t="s">
        <v>52</v>
      </c>
      <c r="H20" s="969"/>
      <c r="I20" s="955"/>
    </row>
    <row r="21" spans="1:9" x14ac:dyDescent="0.2">
      <c r="A21" s="230" t="s">
        <v>36</v>
      </c>
      <c r="B21" s="231" t="s">
        <v>51</v>
      </c>
      <c r="C21" s="232"/>
      <c r="D21" s="232"/>
      <c r="E21" s="233"/>
      <c r="F21" s="125"/>
      <c r="G21" s="231" t="s">
        <v>52</v>
      </c>
      <c r="H21" s="970"/>
      <c r="I21" s="956"/>
    </row>
    <row r="22" spans="1:9" x14ac:dyDescent="0.2">
      <c r="A22" s="230" t="s">
        <v>38</v>
      </c>
      <c r="B22" s="231" t="s">
        <v>51</v>
      </c>
      <c r="C22" s="231"/>
      <c r="D22" s="231"/>
      <c r="E22" s="125"/>
      <c r="F22" s="125"/>
      <c r="G22" s="231" t="s">
        <v>52</v>
      </c>
      <c r="H22" s="969"/>
      <c r="I22" s="955"/>
    </row>
    <row r="23" spans="1:9" ht="30" x14ac:dyDescent="0.2">
      <c r="A23" s="973" t="s">
        <v>4</v>
      </c>
      <c r="B23" s="974" t="s">
        <v>40</v>
      </c>
      <c r="C23" s="974" t="s">
        <v>26</v>
      </c>
      <c r="D23" s="974" t="s">
        <v>53</v>
      </c>
      <c r="E23" s="974" t="s">
        <v>54</v>
      </c>
      <c r="F23" s="974" t="s">
        <v>221</v>
      </c>
      <c r="G23" s="974" t="s">
        <v>55</v>
      </c>
      <c r="H23" s="974" t="s">
        <v>428</v>
      </c>
      <c r="I23" s="976" t="s">
        <v>43</v>
      </c>
    </row>
    <row r="24" spans="1:9" x14ac:dyDescent="0.2">
      <c r="A24" s="279"/>
      <c r="B24" s="278"/>
      <c r="C24" s="278"/>
      <c r="D24" s="278"/>
      <c r="E24" s="278"/>
      <c r="F24" s="278"/>
      <c r="G24" s="350"/>
      <c r="H24" s="963"/>
      <c r="I24" s="913">
        <f>G24*H24+F24</f>
        <v>0</v>
      </c>
    </row>
    <row r="25" spans="1:9" x14ac:dyDescent="0.2">
      <c r="A25" s="254"/>
      <c r="B25" s="249"/>
      <c r="C25" s="249"/>
      <c r="D25" s="249"/>
      <c r="E25" s="249"/>
      <c r="F25" s="249"/>
      <c r="G25" s="351"/>
      <c r="H25" s="964"/>
      <c r="I25" s="914">
        <f t="shared" ref="I25:I33" si="1">G25*H25+F25</f>
        <v>0</v>
      </c>
    </row>
    <row r="26" spans="1:9" x14ac:dyDescent="0.2">
      <c r="A26" s="254"/>
      <c r="B26" s="249"/>
      <c r="C26" s="249"/>
      <c r="D26" s="249"/>
      <c r="E26" s="249"/>
      <c r="F26" s="249"/>
      <c r="G26" s="351"/>
      <c r="H26" s="964"/>
      <c r="I26" s="914">
        <f t="shared" si="1"/>
        <v>0</v>
      </c>
    </row>
    <row r="27" spans="1:9" x14ac:dyDescent="0.2">
      <c r="A27" s="254"/>
      <c r="B27" s="249"/>
      <c r="C27" s="249"/>
      <c r="D27" s="249"/>
      <c r="E27" s="249"/>
      <c r="F27" s="249"/>
      <c r="G27" s="351"/>
      <c r="H27" s="964"/>
      <c r="I27" s="914">
        <f t="shared" si="1"/>
        <v>0</v>
      </c>
    </row>
    <row r="28" spans="1:9" x14ac:dyDescent="0.2">
      <c r="A28" s="254"/>
      <c r="B28" s="249"/>
      <c r="C28" s="249"/>
      <c r="D28" s="249"/>
      <c r="E28" s="249"/>
      <c r="F28" s="249"/>
      <c r="G28" s="351"/>
      <c r="H28" s="964"/>
      <c r="I28" s="914">
        <f t="shared" si="1"/>
        <v>0</v>
      </c>
    </row>
    <row r="29" spans="1:9" x14ac:dyDescent="0.2">
      <c r="A29" s="254"/>
      <c r="B29" s="249"/>
      <c r="C29" s="249"/>
      <c r="D29" s="249"/>
      <c r="E29" s="249"/>
      <c r="F29" s="249"/>
      <c r="G29" s="351"/>
      <c r="H29" s="964"/>
      <c r="I29" s="914">
        <f t="shared" si="1"/>
        <v>0</v>
      </c>
    </row>
    <row r="30" spans="1:9" ht="15.75" customHeight="1" x14ac:dyDescent="0.2">
      <c r="A30" s="254"/>
      <c r="B30" s="249"/>
      <c r="C30" s="249"/>
      <c r="D30" s="249"/>
      <c r="E30" s="249"/>
      <c r="F30" s="249"/>
      <c r="G30" s="351"/>
      <c r="H30" s="964"/>
      <c r="I30" s="914">
        <f t="shared" si="1"/>
        <v>0</v>
      </c>
    </row>
    <row r="31" spans="1:9" x14ac:dyDescent="0.2">
      <c r="A31" s="254"/>
      <c r="B31" s="249"/>
      <c r="C31" s="249"/>
      <c r="D31" s="249"/>
      <c r="E31" s="249"/>
      <c r="F31" s="249"/>
      <c r="G31" s="351"/>
      <c r="H31" s="964"/>
      <c r="I31" s="914">
        <f t="shared" si="1"/>
        <v>0</v>
      </c>
    </row>
    <row r="32" spans="1:9" x14ac:dyDescent="0.2">
      <c r="A32" s="254"/>
      <c r="B32" s="249"/>
      <c r="C32" s="249"/>
      <c r="D32" s="249"/>
      <c r="E32" s="249"/>
      <c r="F32" s="249"/>
      <c r="G32" s="351"/>
      <c r="H32" s="964"/>
      <c r="I32" s="914">
        <f t="shared" si="1"/>
        <v>0</v>
      </c>
    </row>
    <row r="33" spans="1:9" ht="15.75" thickBot="1" x14ac:dyDescent="0.25">
      <c r="A33" s="316"/>
      <c r="B33" s="317"/>
      <c r="C33" s="317"/>
      <c r="D33" s="317"/>
      <c r="E33" s="317"/>
      <c r="F33" s="317"/>
      <c r="G33" s="352"/>
      <c r="H33" s="965"/>
      <c r="I33" s="915">
        <f t="shared" si="1"/>
        <v>0</v>
      </c>
    </row>
    <row r="34" spans="1:9" x14ac:dyDescent="0.2">
      <c r="A34" s="318"/>
      <c r="B34" s="319"/>
      <c r="C34" s="319"/>
      <c r="D34" s="319"/>
      <c r="E34" s="319"/>
      <c r="F34" s="319"/>
      <c r="G34" s="319"/>
      <c r="H34" s="262" t="s">
        <v>56</v>
      </c>
      <c r="I34" s="916">
        <f>SUM(I24:I33)</f>
        <v>0</v>
      </c>
    </row>
    <row r="35" spans="1:9" ht="15.75" thickBot="1" x14ac:dyDescent="0.25">
      <c r="A35" s="230"/>
      <c r="B35" s="235"/>
      <c r="C35" s="235"/>
      <c r="D35" s="235"/>
      <c r="E35" s="235"/>
      <c r="F35" s="235"/>
      <c r="G35" s="235"/>
      <c r="H35" s="237" t="s">
        <v>358</v>
      </c>
      <c r="I35" s="953"/>
    </row>
    <row r="36" spans="1:9" ht="15.75" thickTop="1" x14ac:dyDescent="0.2">
      <c r="A36" s="236" t="s">
        <v>642</v>
      </c>
      <c r="B36" s="225"/>
      <c r="C36" s="225"/>
      <c r="D36" s="225"/>
      <c r="E36" s="225"/>
      <c r="F36" s="225"/>
      <c r="G36" s="225"/>
      <c r="H36" s="225"/>
      <c r="I36" s="957"/>
    </row>
    <row r="37" spans="1:9" ht="30" x14ac:dyDescent="0.2">
      <c r="A37" s="973" t="s">
        <v>4</v>
      </c>
      <c r="B37" s="909" t="s">
        <v>40</v>
      </c>
      <c r="C37" s="977" t="s">
        <v>26</v>
      </c>
      <c r="D37" s="974" t="s">
        <v>57</v>
      </c>
      <c r="E37" s="974" t="s">
        <v>58</v>
      </c>
      <c r="F37" s="974"/>
      <c r="G37" s="980" t="s">
        <v>5</v>
      </c>
      <c r="H37" s="980" t="s">
        <v>10</v>
      </c>
      <c r="I37" s="976" t="s">
        <v>43</v>
      </c>
    </row>
    <row r="38" spans="1:9" x14ac:dyDescent="0.2">
      <c r="A38" s="253"/>
      <c r="B38" s="250"/>
      <c r="C38" s="250"/>
      <c r="D38" s="250"/>
      <c r="E38" s="250"/>
      <c r="F38" s="250"/>
      <c r="G38" s="981"/>
      <c r="H38" s="981"/>
      <c r="I38" s="958"/>
    </row>
    <row r="39" spans="1:9" x14ac:dyDescent="0.2">
      <c r="A39" s="254"/>
      <c r="B39" s="249"/>
      <c r="C39" s="249"/>
      <c r="D39" s="249"/>
      <c r="E39" s="249"/>
      <c r="F39" s="249"/>
      <c r="G39" s="982"/>
      <c r="H39" s="982"/>
      <c r="I39" s="959"/>
    </row>
    <row r="40" spans="1:9" x14ac:dyDescent="0.2">
      <c r="A40" s="254"/>
      <c r="B40" s="249"/>
      <c r="C40" s="249"/>
      <c r="D40" s="249"/>
      <c r="E40" s="249"/>
      <c r="F40" s="249"/>
      <c r="G40" s="982"/>
      <c r="H40" s="982"/>
      <c r="I40" s="959"/>
    </row>
    <row r="41" spans="1:9" x14ac:dyDescent="0.2">
      <c r="A41" s="254"/>
      <c r="B41" s="249"/>
      <c r="C41" s="249"/>
      <c r="D41" s="249"/>
      <c r="E41" s="249"/>
      <c r="F41" s="249"/>
      <c r="G41" s="982"/>
      <c r="H41" s="982"/>
      <c r="I41" s="959"/>
    </row>
    <row r="42" spans="1:9" x14ac:dyDescent="0.2">
      <c r="A42" s="254"/>
      <c r="B42" s="249"/>
      <c r="C42" s="249"/>
      <c r="D42" s="249"/>
      <c r="E42" s="249"/>
      <c r="F42" s="249"/>
      <c r="G42" s="982"/>
      <c r="H42" s="982"/>
      <c r="I42" s="959"/>
    </row>
    <row r="43" spans="1:9" x14ac:dyDescent="0.2">
      <c r="A43" s="254"/>
      <c r="B43" s="249"/>
      <c r="C43" s="249"/>
      <c r="D43" s="249"/>
      <c r="E43" s="249"/>
      <c r="F43" s="249"/>
      <c r="G43" s="982"/>
      <c r="H43" s="982"/>
      <c r="I43" s="959"/>
    </row>
    <row r="44" spans="1:9" x14ac:dyDescent="0.2">
      <c r="A44" s="254"/>
      <c r="B44" s="249"/>
      <c r="C44" s="249"/>
      <c r="D44" s="249"/>
      <c r="E44" s="249"/>
      <c r="F44" s="249"/>
      <c r="G44" s="982"/>
      <c r="H44" s="982"/>
      <c r="I44" s="959"/>
    </row>
    <row r="45" spans="1:9" ht="15.75" thickBot="1" x14ac:dyDescent="0.25">
      <c r="A45" s="316"/>
      <c r="B45" s="317"/>
      <c r="C45" s="317"/>
      <c r="D45" s="317"/>
      <c r="E45" s="317"/>
      <c r="F45" s="317"/>
      <c r="G45" s="983"/>
      <c r="H45" s="983"/>
      <c r="I45" s="960"/>
    </row>
    <row r="46" spans="1:9" x14ac:dyDescent="0.2">
      <c r="A46" s="318"/>
      <c r="B46" s="319"/>
      <c r="C46" s="319"/>
      <c r="D46" s="319"/>
      <c r="E46" s="319"/>
      <c r="F46" s="319"/>
      <c r="G46" s="984"/>
      <c r="H46" s="985" t="s">
        <v>59</v>
      </c>
      <c r="I46" s="952">
        <f>SUM(I38:I45)</f>
        <v>0</v>
      </c>
    </row>
    <row r="47" spans="1:9" ht="15.75" thickBot="1" x14ac:dyDescent="0.25">
      <c r="A47" s="129"/>
      <c r="B47" s="125"/>
      <c r="C47" s="125"/>
      <c r="D47" s="125"/>
      <c r="E47" s="125"/>
      <c r="F47" s="125"/>
      <c r="G47" s="986"/>
      <c r="H47" s="987" t="s">
        <v>358</v>
      </c>
      <c r="I47" s="953"/>
    </row>
    <row r="48" spans="1:9" ht="15.75" thickTop="1" x14ac:dyDescent="0.2">
      <c r="A48" s="236" t="s">
        <v>60</v>
      </c>
      <c r="B48" s="225"/>
      <c r="C48" s="225"/>
      <c r="D48" s="225"/>
      <c r="E48" s="225"/>
      <c r="F48" s="225"/>
      <c r="G48" s="988"/>
      <c r="H48" s="988"/>
      <c r="I48" s="957"/>
    </row>
    <row r="49" spans="1:9" ht="30" x14ac:dyDescent="0.2">
      <c r="A49" s="978" t="s">
        <v>4</v>
      </c>
      <c r="B49" s="909" t="s">
        <v>40</v>
      </c>
      <c r="C49" s="977" t="s">
        <v>26</v>
      </c>
      <c r="D49" s="979" t="s">
        <v>46</v>
      </c>
      <c r="E49" s="979" t="s">
        <v>47</v>
      </c>
      <c r="F49" s="979"/>
      <c r="G49" s="980" t="s">
        <v>61</v>
      </c>
      <c r="H49" s="980" t="s">
        <v>62</v>
      </c>
      <c r="I49" s="976" t="s">
        <v>43</v>
      </c>
    </row>
    <row r="50" spans="1:9" x14ac:dyDescent="0.2">
      <c r="A50" s="253"/>
      <c r="B50" s="259"/>
      <c r="C50" s="259"/>
      <c r="D50" s="250"/>
      <c r="E50" s="250"/>
      <c r="F50" s="250"/>
      <c r="G50" s="981"/>
      <c r="H50" s="981"/>
      <c r="I50" s="958"/>
    </row>
    <row r="51" spans="1:9" x14ac:dyDescent="0.2">
      <c r="A51" s="321"/>
      <c r="B51" s="255"/>
      <c r="C51" s="255"/>
      <c r="D51" s="249"/>
      <c r="E51" s="249"/>
      <c r="F51" s="249"/>
      <c r="G51" s="982"/>
      <c r="H51" s="982"/>
      <c r="I51" s="959"/>
    </row>
    <row r="52" spans="1:9" x14ac:dyDescent="0.2">
      <c r="A52" s="320"/>
      <c r="B52" s="255"/>
      <c r="C52" s="255"/>
      <c r="D52" s="249"/>
      <c r="E52" s="249"/>
      <c r="F52" s="249"/>
      <c r="G52" s="982"/>
      <c r="H52" s="982"/>
      <c r="I52" s="959"/>
    </row>
    <row r="53" spans="1:9" x14ac:dyDescent="0.2">
      <c r="A53" s="254"/>
      <c r="B53" s="255"/>
      <c r="C53" s="255"/>
      <c r="D53" s="249"/>
      <c r="E53" s="249"/>
      <c r="F53" s="249"/>
      <c r="G53" s="982"/>
      <c r="H53" s="982"/>
      <c r="I53" s="959"/>
    </row>
    <row r="54" spans="1:9" x14ac:dyDescent="0.2">
      <c r="A54" s="254"/>
      <c r="B54" s="255"/>
      <c r="C54" s="255"/>
      <c r="D54" s="249"/>
      <c r="E54" s="249"/>
      <c r="F54" s="249"/>
      <c r="G54" s="982"/>
      <c r="H54" s="982"/>
      <c r="I54" s="959"/>
    </row>
    <row r="55" spans="1:9" x14ac:dyDescent="0.2">
      <c r="A55" s="254"/>
      <c r="B55" s="255"/>
      <c r="C55" s="255"/>
      <c r="D55" s="249"/>
      <c r="E55" s="249"/>
      <c r="F55" s="249"/>
      <c r="G55" s="982"/>
      <c r="H55" s="982"/>
      <c r="I55" s="959"/>
    </row>
    <row r="56" spans="1:9" ht="15.75" thickBot="1" x14ac:dyDescent="0.25">
      <c r="A56" s="316"/>
      <c r="B56" s="322"/>
      <c r="C56" s="322"/>
      <c r="D56" s="317"/>
      <c r="E56" s="317"/>
      <c r="F56" s="317"/>
      <c r="G56" s="983"/>
      <c r="H56" s="983"/>
      <c r="I56" s="960"/>
    </row>
    <row r="57" spans="1:9" x14ac:dyDescent="0.2">
      <c r="A57" s="318"/>
      <c r="B57" s="319"/>
      <c r="C57" s="319"/>
      <c r="D57" s="319"/>
      <c r="E57" s="319"/>
      <c r="F57" s="319"/>
      <c r="G57" s="319"/>
      <c r="H57" s="262" t="s">
        <v>63</v>
      </c>
      <c r="I57" s="952">
        <f>SUM(I50:I56)</f>
        <v>0</v>
      </c>
    </row>
    <row r="58" spans="1:9" ht="15.75" thickBot="1" x14ac:dyDescent="0.25">
      <c r="A58" s="230"/>
      <c r="B58" s="235"/>
      <c r="C58" s="235"/>
      <c r="D58" s="235"/>
      <c r="E58" s="235"/>
      <c r="F58" s="235"/>
      <c r="G58" s="235"/>
      <c r="H58" s="237" t="s">
        <v>358</v>
      </c>
      <c r="I58" s="953"/>
    </row>
    <row r="59" spans="1:9" ht="16.5" thickTop="1" thickBot="1" x14ac:dyDescent="0.25">
      <c r="A59" s="230"/>
      <c r="B59" s="237"/>
      <c r="C59" s="237"/>
      <c r="D59" s="237"/>
      <c r="E59" s="237"/>
      <c r="F59" s="237"/>
      <c r="G59" s="237"/>
      <c r="H59" s="243"/>
      <c r="I59" s="955"/>
    </row>
    <row r="60" spans="1:9" ht="15.75" thickTop="1" x14ac:dyDescent="0.2">
      <c r="A60" s="238"/>
      <c r="B60" s="239"/>
      <c r="C60" s="239"/>
      <c r="D60" s="239"/>
      <c r="E60" s="240"/>
      <c r="F60" s="240"/>
      <c r="G60" s="240"/>
      <c r="H60" s="241" t="s">
        <v>220</v>
      </c>
      <c r="I60" s="961">
        <f>I46+I57+I34</f>
        <v>0</v>
      </c>
    </row>
    <row r="61" spans="1:9" ht="15.75" thickBot="1" x14ac:dyDescent="0.25">
      <c r="A61" s="242"/>
      <c r="B61" s="237"/>
      <c r="C61" s="237"/>
      <c r="D61" s="237"/>
      <c r="E61" s="237"/>
      <c r="F61" s="237"/>
      <c r="G61" s="237"/>
      <c r="H61" s="237" t="s">
        <v>358</v>
      </c>
      <c r="I61" s="962">
        <f>I18+I35+I47+I58</f>
        <v>0</v>
      </c>
    </row>
    <row r="62" spans="1:9" ht="15.75" thickTop="1" x14ac:dyDescent="0.2">
      <c r="I62" s="504"/>
    </row>
    <row r="63" spans="1:9" x14ac:dyDescent="0.2">
      <c r="I63" s="222"/>
    </row>
    <row r="64" spans="1:9" x14ac:dyDescent="0.2">
      <c r="I64" s="222"/>
    </row>
    <row r="65" spans="9:9" x14ac:dyDescent="0.2">
      <c r="I65" s="222"/>
    </row>
    <row r="66" spans="9:9" x14ac:dyDescent="0.2">
      <c r="I66" s="222"/>
    </row>
    <row r="67" spans="9:9" x14ac:dyDescent="0.2">
      <c r="I67" s="222"/>
    </row>
    <row r="68" spans="9:9" x14ac:dyDescent="0.2">
      <c r="I68" s="222"/>
    </row>
    <row r="69" spans="9:9" x14ac:dyDescent="0.2">
      <c r="I69" s="222"/>
    </row>
    <row r="70" spans="9:9" x14ac:dyDescent="0.2">
      <c r="I70" s="222"/>
    </row>
    <row r="71" spans="9:9" x14ac:dyDescent="0.2">
      <c r="I71" s="222"/>
    </row>
    <row r="72" spans="9:9" x14ac:dyDescent="0.2">
      <c r="I72" s="222"/>
    </row>
    <row r="73" spans="9:9" x14ac:dyDescent="0.2">
      <c r="I73" s="222"/>
    </row>
    <row r="74" spans="9:9" x14ac:dyDescent="0.2">
      <c r="I74" s="222"/>
    </row>
    <row r="75" spans="9:9" x14ac:dyDescent="0.2">
      <c r="I75" s="222"/>
    </row>
    <row r="76" spans="9:9" x14ac:dyDescent="0.2">
      <c r="I76" s="222"/>
    </row>
    <row r="77" spans="9:9" x14ac:dyDescent="0.2">
      <c r="I77" s="222"/>
    </row>
    <row r="78" spans="9:9" x14ac:dyDescent="0.2">
      <c r="I78" s="222"/>
    </row>
    <row r="79" spans="9:9" x14ac:dyDescent="0.2">
      <c r="I79" s="222"/>
    </row>
    <row r="80" spans="9:9" x14ac:dyDescent="0.2">
      <c r="I80" s="222"/>
    </row>
    <row r="81" spans="9:9" x14ac:dyDescent="0.2">
      <c r="I81" s="222"/>
    </row>
    <row r="82" spans="9:9" x14ac:dyDescent="0.2">
      <c r="I82" s="222"/>
    </row>
    <row r="83" spans="9:9" x14ac:dyDescent="0.2">
      <c r="I83" s="222"/>
    </row>
    <row r="84" spans="9:9" x14ac:dyDescent="0.2">
      <c r="I84" s="222"/>
    </row>
    <row r="85" spans="9:9" x14ac:dyDescent="0.2">
      <c r="I85" s="222"/>
    </row>
    <row r="86" spans="9:9" x14ac:dyDescent="0.2">
      <c r="I86" s="222"/>
    </row>
    <row r="87" spans="9:9" x14ac:dyDescent="0.2">
      <c r="I87" s="222"/>
    </row>
    <row r="88" spans="9:9" x14ac:dyDescent="0.2">
      <c r="I88" s="222"/>
    </row>
    <row r="89" spans="9:9" x14ac:dyDescent="0.2">
      <c r="I89" s="222"/>
    </row>
    <row r="90" spans="9:9" x14ac:dyDescent="0.2">
      <c r="I90" s="222"/>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
    <mergeCell ref="A3:B3"/>
    <mergeCell ref="F3:G3"/>
  </mergeCells>
  <phoneticPr fontId="0" type="noConversion"/>
  <pageMargins left="0.94488188976377963" right="0.55118110236220474" top="0.62992125984251968" bottom="0.98425196850393704" header="0.51181102362204722" footer="0.51181102362204722"/>
  <pageSetup paperSize="9" scale="66" orientation="portrait" horizontalDpi="4294967293" verticalDpi="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election activeCell="D21" sqref="D21"/>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130"/>
      <c r="B1" s="1131"/>
      <c r="C1" s="1131"/>
      <c r="D1" s="1132" t="s">
        <v>454</v>
      </c>
      <c r="E1" s="1133"/>
      <c r="F1" s="1133"/>
      <c r="G1" s="1131"/>
      <c r="H1" s="1131"/>
      <c r="I1" s="1131"/>
      <c r="J1" s="1131"/>
      <c r="K1" s="1131"/>
      <c r="L1" s="1131"/>
      <c r="M1" s="1134" t="s">
        <v>455</v>
      </c>
      <c r="N1" s="1135"/>
      <c r="O1" s="1134"/>
    </row>
    <row r="2" spans="1:15" x14ac:dyDescent="0.2">
      <c r="A2" s="1136"/>
      <c r="B2" s="1137"/>
      <c r="C2" s="1138"/>
      <c r="D2" s="1138" t="s">
        <v>456</v>
      </c>
      <c r="E2" s="1138"/>
      <c r="F2" s="1138"/>
      <c r="G2" s="1138"/>
      <c r="H2" s="1138"/>
      <c r="I2" s="1138"/>
      <c r="J2" s="1138"/>
      <c r="K2" s="1138"/>
      <c r="L2" s="1138"/>
      <c r="M2" s="1138"/>
      <c r="N2" s="1137" t="s">
        <v>457</v>
      </c>
      <c r="O2" s="1139"/>
    </row>
    <row r="3" spans="1:15" x14ac:dyDescent="0.2">
      <c r="A3" s="1136"/>
      <c r="B3" s="1137"/>
      <c r="C3" s="1138"/>
      <c r="D3" s="1138"/>
      <c r="E3" s="1138"/>
      <c r="F3" s="1138"/>
      <c r="G3" s="1138"/>
      <c r="H3" s="1138"/>
      <c r="I3" s="1138"/>
      <c r="J3" s="1138"/>
      <c r="K3" s="1138"/>
      <c r="L3" s="1138"/>
      <c r="M3" s="1138"/>
      <c r="N3" s="1138"/>
      <c r="O3" s="1139"/>
    </row>
    <row r="4" spans="1:15" x14ac:dyDescent="0.2">
      <c r="A4" s="1136"/>
      <c r="B4" s="1137"/>
      <c r="C4" s="1138"/>
      <c r="D4" s="1138"/>
      <c r="E4" s="1140" t="s">
        <v>458</v>
      </c>
      <c r="F4" s="1138"/>
      <c r="G4" s="1138"/>
      <c r="H4" s="1138"/>
      <c r="I4" s="1141" t="s">
        <v>459</v>
      </c>
      <c r="J4" s="1142">
        <v>0</v>
      </c>
      <c r="K4" s="1138"/>
      <c r="L4" s="1138"/>
      <c r="M4" s="1143" t="s">
        <v>460</v>
      </c>
      <c r="N4" s="1138"/>
      <c r="O4" s="1144"/>
    </row>
    <row r="5" spans="1:15" x14ac:dyDescent="0.2">
      <c r="A5" s="1136"/>
      <c r="B5" s="1137"/>
      <c r="C5" s="1138"/>
      <c r="D5" s="1138"/>
      <c r="E5" s="1866" t="s">
        <v>461</v>
      </c>
      <c r="F5" s="1867"/>
      <c r="G5" s="1868">
        <v>0</v>
      </c>
      <c r="H5" s="1869"/>
      <c r="I5" s="1138"/>
      <c r="J5" s="1138"/>
      <c r="K5" s="1138"/>
      <c r="L5" s="1138"/>
      <c r="M5" s="1143" t="s">
        <v>462</v>
      </c>
      <c r="N5" s="1870"/>
      <c r="O5" s="1871"/>
    </row>
    <row r="6" spans="1:15" x14ac:dyDescent="0.2">
      <c r="A6" s="1145" t="s">
        <v>463</v>
      </c>
      <c r="B6" s="1137"/>
      <c r="C6" s="1146"/>
      <c r="D6" s="1147" t="s">
        <v>459</v>
      </c>
      <c r="E6" s="1148"/>
      <c r="F6" s="1148"/>
      <c r="G6" s="1148"/>
      <c r="H6" s="1148"/>
      <c r="I6" s="1148"/>
      <c r="J6" s="1148"/>
      <c r="K6" s="1148"/>
      <c r="L6" s="1148"/>
      <c r="M6" s="1148"/>
      <c r="N6" s="1138"/>
      <c r="O6" s="1139"/>
    </row>
    <row r="7" spans="1:15" x14ac:dyDescent="0.2">
      <c r="A7" s="1145" t="s">
        <v>464</v>
      </c>
      <c r="B7" s="1137"/>
      <c r="C7" s="1141"/>
      <c r="D7" s="1147" t="s">
        <v>459</v>
      </c>
      <c r="E7" s="1148"/>
      <c r="F7" s="1148"/>
      <c r="G7" s="1148"/>
      <c r="H7" s="1148"/>
      <c r="I7" s="1148"/>
      <c r="J7" s="1149"/>
      <c r="K7" s="1148"/>
      <c r="L7" s="1148"/>
      <c r="M7" s="1148"/>
      <c r="N7" s="1138"/>
      <c r="O7" s="1139"/>
    </row>
    <row r="8" spans="1:15" x14ac:dyDescent="0.2">
      <c r="A8" s="1136"/>
      <c r="B8" s="1137"/>
      <c r="C8" s="1138"/>
      <c r="D8" s="1137"/>
      <c r="E8" s="1137"/>
      <c r="F8" s="1137"/>
      <c r="G8" s="1137"/>
      <c r="H8" s="1137"/>
      <c r="I8" s="1137"/>
      <c r="J8" s="1150"/>
      <c r="K8" s="1137"/>
      <c r="L8" s="1137"/>
      <c r="M8" s="1137"/>
      <c r="N8" s="1137"/>
      <c r="O8" s="1139"/>
    </row>
    <row r="9" spans="1:15" x14ac:dyDescent="0.2">
      <c r="A9" s="1145" t="s">
        <v>465</v>
      </c>
      <c r="B9" s="1137"/>
      <c r="C9" s="1147" t="s">
        <v>466</v>
      </c>
      <c r="D9" s="1138"/>
      <c r="E9" s="1138"/>
      <c r="F9" s="1138"/>
      <c r="G9" s="1138"/>
      <c r="H9" s="1137"/>
      <c r="I9" s="1137"/>
      <c r="J9" s="1138"/>
      <c r="K9" s="1138"/>
      <c r="L9" s="1138"/>
      <c r="M9" s="1138"/>
      <c r="N9" s="1138"/>
      <c r="O9" s="1139"/>
    </row>
    <row r="10" spans="1:15" x14ac:dyDescent="0.2">
      <c r="A10" s="1151" t="s">
        <v>467</v>
      </c>
      <c r="B10" s="1152"/>
      <c r="C10" s="1153"/>
      <c r="D10" s="1153"/>
      <c r="E10" s="1153"/>
      <c r="F10" s="1153"/>
      <c r="G10" s="1153"/>
      <c r="H10" s="1154" t="s">
        <v>468</v>
      </c>
      <c r="I10" s="1155"/>
      <c r="J10" s="1156" t="s">
        <v>469</v>
      </c>
      <c r="K10" s="1157" t="s">
        <v>470</v>
      </c>
      <c r="L10" s="1158"/>
      <c r="M10" s="1159"/>
      <c r="N10" s="1160" t="s">
        <v>471</v>
      </c>
      <c r="O10" s="1161" t="s">
        <v>472</v>
      </c>
    </row>
    <row r="11" spans="1:15" x14ac:dyDescent="0.2">
      <c r="A11" s="1162"/>
      <c r="B11" s="1163"/>
      <c r="C11" s="1164"/>
      <c r="D11" s="1165" t="s">
        <v>473</v>
      </c>
      <c r="E11" s="1166"/>
      <c r="F11" s="1167" t="s">
        <v>474</v>
      </c>
      <c r="G11" s="1168"/>
      <c r="H11" s="1169" t="s">
        <v>475</v>
      </c>
      <c r="I11" s="1137"/>
      <c r="J11" s="1170" t="s">
        <v>476</v>
      </c>
      <c r="K11" s="1171" t="s">
        <v>477</v>
      </c>
      <c r="L11" s="1163" t="s">
        <v>478</v>
      </c>
      <c r="M11" s="1156" t="s">
        <v>479</v>
      </c>
      <c r="N11" s="1172" t="s">
        <v>480</v>
      </c>
      <c r="O11" s="1173" t="s">
        <v>481</v>
      </c>
    </row>
    <row r="12" spans="1:15" x14ac:dyDescent="0.2">
      <c r="A12" s="1174"/>
      <c r="B12" s="1872" t="s">
        <v>4</v>
      </c>
      <c r="C12" s="1873"/>
      <c r="D12" s="1175" t="s">
        <v>482</v>
      </c>
      <c r="E12" s="1176"/>
      <c r="F12" s="1177" t="s">
        <v>482</v>
      </c>
      <c r="G12" s="1176"/>
      <c r="H12" s="1872" t="s">
        <v>483</v>
      </c>
      <c r="I12" s="1874"/>
      <c r="J12" s="1178" t="s">
        <v>484</v>
      </c>
      <c r="K12" s="1179" t="s">
        <v>485</v>
      </c>
      <c r="L12" s="1177" t="s">
        <v>486</v>
      </c>
      <c r="M12" s="1180" t="s">
        <v>487</v>
      </c>
      <c r="N12" s="1178" t="s">
        <v>488</v>
      </c>
      <c r="O12" s="1181" t="s">
        <v>489</v>
      </c>
    </row>
    <row r="13" spans="1:15" x14ac:dyDescent="0.2">
      <c r="A13" s="1182" t="s">
        <v>490</v>
      </c>
      <c r="B13" s="1183"/>
      <c r="C13" s="1184"/>
      <c r="D13" s="1875"/>
      <c r="E13" s="1876"/>
      <c r="F13" s="1183"/>
      <c r="G13" s="1184"/>
      <c r="H13" s="1185"/>
      <c r="I13" s="1186"/>
      <c r="J13" s="1187"/>
      <c r="K13" s="1188"/>
      <c r="L13" s="1189"/>
      <c r="M13" s="1190"/>
      <c r="N13" s="1184"/>
      <c r="O13" s="1191"/>
    </row>
    <row r="14" spans="1:15" x14ac:dyDescent="0.2">
      <c r="A14" s="1192" t="s">
        <v>491</v>
      </c>
      <c r="B14" s="1193"/>
      <c r="C14" s="1194"/>
      <c r="D14" s="1179"/>
      <c r="E14" s="1195"/>
      <c r="F14" s="1193"/>
      <c r="G14" s="1194"/>
      <c r="H14" s="1196"/>
      <c r="I14" s="1197"/>
      <c r="J14" s="1198"/>
      <c r="K14" s="1199"/>
      <c r="L14" s="1199"/>
      <c r="M14" s="1200"/>
      <c r="N14" s="1178"/>
      <c r="O14" s="1201"/>
    </row>
    <row r="15" spans="1:15" x14ac:dyDescent="0.2">
      <c r="A15" s="1202"/>
      <c r="B15" s="1203"/>
      <c r="C15" s="1137"/>
      <c r="D15" s="1172"/>
      <c r="E15" s="1204"/>
      <c r="F15" s="1203"/>
      <c r="G15" s="1137"/>
      <c r="H15" s="1137"/>
      <c r="I15" s="1137"/>
      <c r="J15" s="1146" t="s">
        <v>492</v>
      </c>
      <c r="K15" s="1172" t="s">
        <v>493</v>
      </c>
      <c r="L15" s="1146" t="s">
        <v>494</v>
      </c>
      <c r="M15" s="1172" t="s">
        <v>495</v>
      </c>
      <c r="N15" s="1137"/>
      <c r="O15" s="1205" t="s">
        <v>9</v>
      </c>
    </row>
    <row r="16" spans="1:15" ht="15.75" thickBot="1" x14ac:dyDescent="0.25">
      <c r="A16" s="1136" t="s">
        <v>496</v>
      </c>
      <c r="B16" s="1203"/>
      <c r="C16" s="1137"/>
      <c r="D16" s="1172"/>
      <c r="E16" s="1204"/>
      <c r="F16" s="1203"/>
      <c r="G16" s="1137"/>
      <c r="H16" s="1137"/>
      <c r="I16" s="1137"/>
      <c r="J16" s="1147" t="s">
        <v>497</v>
      </c>
      <c r="K16" s="1137"/>
      <c r="L16" s="1206"/>
      <c r="M16" s="1147"/>
      <c r="N16" s="1137"/>
      <c r="O16" s="1207">
        <f>J13+J14+K13+K14+L13+L14+M13+M14</f>
        <v>0</v>
      </c>
    </row>
    <row r="17" spans="1:15" x14ac:dyDescent="0.2">
      <c r="A17" s="1136" t="s">
        <v>498</v>
      </c>
      <c r="B17" s="1203"/>
      <c r="C17" s="1137"/>
      <c r="D17" s="1172"/>
      <c r="E17" s="1208"/>
      <c r="F17" s="1203"/>
      <c r="G17" s="1137"/>
      <c r="H17" s="1137"/>
      <c r="I17" s="1137"/>
      <c r="J17" s="1172"/>
      <c r="K17" s="1209"/>
      <c r="L17" s="1210"/>
      <c r="M17" s="1211"/>
      <c r="N17" s="1212" t="s">
        <v>499</v>
      </c>
      <c r="O17" s="1213" t="s">
        <v>9</v>
      </c>
    </row>
    <row r="18" spans="1:15" ht="15.75" thickBot="1" x14ac:dyDescent="0.25">
      <c r="A18" s="1214" t="s">
        <v>500</v>
      </c>
      <c r="B18" s="1215"/>
      <c r="C18" s="1216"/>
      <c r="D18" s="1217"/>
      <c r="E18" s="1218"/>
      <c r="F18" s="1215"/>
      <c r="G18" s="1216"/>
      <c r="H18" s="1216"/>
      <c r="I18" s="1216"/>
      <c r="J18" s="1217"/>
      <c r="K18" s="1219" t="s">
        <v>501</v>
      </c>
      <c r="L18" s="1218"/>
      <c r="M18" s="1217"/>
      <c r="N18" s="1220">
        <v>0</v>
      </c>
      <c r="O18" s="1221"/>
    </row>
    <row r="19" spans="1:15" ht="15.75" thickTop="1" x14ac:dyDescent="0.2">
      <c r="A19" s="1136"/>
      <c r="B19" s="1203"/>
      <c r="C19" s="1137"/>
      <c r="D19" s="1172"/>
      <c r="E19" s="1208"/>
      <c r="F19" s="1203"/>
      <c r="G19" s="1137"/>
      <c r="H19" s="1137"/>
      <c r="I19" s="1137"/>
      <c r="J19" s="1172"/>
      <c r="K19" s="1203"/>
      <c r="L19" s="1208"/>
      <c r="M19" s="1172"/>
      <c r="N19" s="1172"/>
      <c r="O19" s="1222"/>
    </row>
    <row r="20" spans="1:15" x14ac:dyDescent="0.2">
      <c r="A20" s="1151" t="s">
        <v>502</v>
      </c>
      <c r="B20" s="1153"/>
      <c r="C20" s="1152"/>
      <c r="D20" s="1153"/>
      <c r="E20" s="1153"/>
      <c r="F20" s="1153"/>
      <c r="G20" s="1153"/>
      <c r="H20" s="1153"/>
      <c r="I20" s="1153"/>
      <c r="J20" s="1153"/>
      <c r="K20" s="1153"/>
      <c r="L20" s="1153"/>
      <c r="M20" s="1153"/>
      <c r="N20" s="1153"/>
      <c r="O20" s="1223"/>
    </row>
    <row r="21" spans="1:15" x14ac:dyDescent="0.2">
      <c r="A21" s="1224"/>
      <c r="B21" s="1152" t="s">
        <v>503</v>
      </c>
      <c r="C21" s="1194"/>
      <c r="D21" s="1153"/>
      <c r="E21" s="1153"/>
      <c r="F21" s="1153"/>
      <c r="G21" s="1153"/>
      <c r="H21" s="1225"/>
      <c r="I21" s="1152" t="s">
        <v>504</v>
      </c>
      <c r="J21" s="1153"/>
      <c r="K21" s="1152"/>
      <c r="L21" s="1153"/>
      <c r="M21" s="1226" t="s">
        <v>505</v>
      </c>
      <c r="N21" s="1157"/>
      <c r="O21" s="1227"/>
    </row>
    <row r="22" spans="1:15" x14ac:dyDescent="0.2">
      <c r="A22" s="1228" t="s">
        <v>506</v>
      </c>
      <c r="B22" s="1176"/>
      <c r="C22" s="1229"/>
      <c r="D22" s="1230" t="s">
        <v>507</v>
      </c>
      <c r="E22" s="1176"/>
      <c r="F22" s="1178"/>
      <c r="G22" s="1178"/>
      <c r="H22" s="1231" t="s">
        <v>508</v>
      </c>
      <c r="I22" s="1153"/>
      <c r="J22" s="1153"/>
      <c r="K22" s="1232" t="s">
        <v>509</v>
      </c>
      <c r="L22" s="1153"/>
      <c r="M22" s="1233" t="s">
        <v>510</v>
      </c>
      <c r="N22" s="1234" t="s">
        <v>501</v>
      </c>
      <c r="O22" s="1235"/>
    </row>
    <row r="23" spans="1:15" x14ac:dyDescent="0.2">
      <c r="A23" s="1192" t="s">
        <v>485</v>
      </c>
      <c r="B23" s="1230" t="s">
        <v>4</v>
      </c>
      <c r="C23" s="1176"/>
      <c r="D23" s="1230" t="s">
        <v>485</v>
      </c>
      <c r="E23" s="1176"/>
      <c r="F23" s="1236" t="s">
        <v>4</v>
      </c>
      <c r="G23" s="1178"/>
      <c r="H23" s="1877" t="s">
        <v>485</v>
      </c>
      <c r="I23" s="1878"/>
      <c r="J23" s="1236" t="s">
        <v>4</v>
      </c>
      <c r="K23" s="1236" t="s">
        <v>485</v>
      </c>
      <c r="L23" s="1236" t="s">
        <v>4</v>
      </c>
      <c r="M23" s="1237" t="s">
        <v>485</v>
      </c>
      <c r="N23" s="1238" t="s">
        <v>499</v>
      </c>
      <c r="O23" s="1239" t="s">
        <v>511</v>
      </c>
    </row>
    <row r="24" spans="1:15" x14ac:dyDescent="0.2">
      <c r="A24" s="1240"/>
      <c r="B24" s="1241"/>
      <c r="C24" s="1148"/>
      <c r="D24" s="1242"/>
      <c r="E24" s="1243"/>
      <c r="F24" s="1241"/>
      <c r="G24" s="1148"/>
      <c r="H24" s="1244"/>
      <c r="I24" s="1245"/>
      <c r="J24" s="1246"/>
      <c r="K24" s="1241"/>
      <c r="L24" s="1246"/>
      <c r="M24" s="1247"/>
      <c r="N24" s="1248"/>
      <c r="O24" s="1249"/>
    </row>
    <row r="25" spans="1:15" x14ac:dyDescent="0.2">
      <c r="A25" s="1240"/>
      <c r="B25" s="1241"/>
      <c r="C25" s="1148"/>
      <c r="D25" s="1242"/>
      <c r="E25" s="1243"/>
      <c r="F25" s="1241"/>
      <c r="G25" s="1148"/>
      <c r="H25" s="1244"/>
      <c r="I25" s="1245"/>
      <c r="J25" s="1246"/>
      <c r="K25" s="1241"/>
      <c r="L25" s="1246"/>
      <c r="M25" s="1247"/>
      <c r="N25" s="1248"/>
      <c r="O25" s="1249"/>
    </row>
    <row r="26" spans="1:15" x14ac:dyDescent="0.2">
      <c r="A26" s="1250"/>
      <c r="B26" s="1193"/>
      <c r="C26" s="1194"/>
      <c r="D26" s="1251"/>
      <c r="E26" s="1252"/>
      <c r="F26" s="1193"/>
      <c r="G26" s="1194"/>
      <c r="H26" s="1244"/>
      <c r="I26" s="1197"/>
      <c r="J26" s="1253"/>
      <c r="K26" s="1193"/>
      <c r="L26" s="1253"/>
      <c r="M26" s="1254"/>
      <c r="N26" s="1178"/>
      <c r="O26" s="1255"/>
    </row>
    <row r="27" spans="1:15" ht="15.75" thickBot="1" x14ac:dyDescent="0.25">
      <c r="A27" s="1256"/>
      <c r="B27" s="1257"/>
      <c r="C27" s="1257"/>
      <c r="D27" s="1257"/>
      <c r="E27" s="1257"/>
      <c r="F27" s="1257"/>
      <c r="G27" s="1257"/>
      <c r="H27" s="1258"/>
      <c r="I27" s="1257"/>
      <c r="J27" s="1257"/>
      <c r="K27" s="1257"/>
      <c r="L27" s="1259" t="s">
        <v>512</v>
      </c>
      <c r="M27" s="1260"/>
      <c r="N27" s="1261"/>
      <c r="O27" s="1262"/>
    </row>
    <row r="28" spans="1:15" ht="15.75" thickTop="1" x14ac:dyDescent="0.2">
      <c r="A28" s="1136"/>
      <c r="B28" s="1137"/>
      <c r="C28" s="1138"/>
      <c r="D28" s="1138"/>
      <c r="E28" s="1138"/>
      <c r="F28" s="1138"/>
      <c r="G28" s="1138"/>
      <c r="H28" s="1147"/>
      <c r="I28" s="1137"/>
      <c r="J28" s="1146"/>
      <c r="K28" s="1172"/>
      <c r="L28" s="1146"/>
      <c r="M28" s="1172"/>
      <c r="N28" s="1137"/>
      <c r="O28" s="1139"/>
    </row>
    <row r="29" spans="1:15" x14ac:dyDescent="0.2">
      <c r="A29" s="1145" t="s">
        <v>513</v>
      </c>
      <c r="B29" s="1137"/>
      <c r="C29" s="1194"/>
      <c r="D29" s="1138"/>
      <c r="E29" s="1138"/>
      <c r="F29" s="1138"/>
      <c r="G29" s="1138"/>
      <c r="H29" s="1138"/>
      <c r="I29" s="1138"/>
      <c r="J29" s="1138"/>
      <c r="K29" s="1138"/>
      <c r="L29" s="1138"/>
      <c r="M29" s="1138"/>
      <c r="N29" s="1138"/>
      <c r="O29" s="1139"/>
    </row>
    <row r="30" spans="1:15" x14ac:dyDescent="0.2">
      <c r="A30" s="1151" t="s">
        <v>514</v>
      </c>
      <c r="B30" s="1152"/>
      <c r="C30" s="1194"/>
      <c r="D30" s="1153"/>
      <c r="E30" s="1153"/>
      <c r="F30" s="1153"/>
      <c r="G30" s="1263"/>
      <c r="H30" s="1137"/>
      <c r="I30" s="1138"/>
      <c r="J30" s="1232" t="s">
        <v>515</v>
      </c>
      <c r="K30" s="1264"/>
      <c r="L30" s="1153"/>
      <c r="M30" s="1153"/>
      <c r="N30" s="1153"/>
      <c r="O30" s="1265"/>
    </row>
    <row r="31" spans="1:15" x14ac:dyDescent="0.2">
      <c r="A31" s="1228" t="s">
        <v>516</v>
      </c>
      <c r="B31" s="1176"/>
      <c r="C31" s="1266"/>
      <c r="D31" s="1140" t="s">
        <v>517</v>
      </c>
      <c r="E31" s="1138"/>
      <c r="F31" s="1267" t="s">
        <v>518</v>
      </c>
      <c r="G31" s="1268"/>
      <c r="H31" s="1137"/>
      <c r="I31" s="1138"/>
      <c r="J31" s="1232" t="s">
        <v>519</v>
      </c>
      <c r="K31" s="1153"/>
      <c r="L31" s="1153"/>
      <c r="M31" s="1153"/>
      <c r="N31" s="1153"/>
      <c r="O31" s="1269" t="s">
        <v>520</v>
      </c>
    </row>
    <row r="32" spans="1:15" x14ac:dyDescent="0.2">
      <c r="A32" s="1192" t="s">
        <v>499</v>
      </c>
      <c r="B32" s="1270" t="s">
        <v>521</v>
      </c>
      <c r="C32" s="1271"/>
      <c r="D32" s="1272" t="s">
        <v>522</v>
      </c>
      <c r="E32" s="1176"/>
      <c r="F32" s="1273" t="s">
        <v>523</v>
      </c>
      <c r="G32" s="1197"/>
      <c r="H32" s="1172"/>
      <c r="I32" s="1138"/>
      <c r="J32" s="1273" t="s">
        <v>524</v>
      </c>
      <c r="K32" s="1194"/>
      <c r="L32" s="1274"/>
      <c r="M32" s="1275"/>
      <c r="N32" s="1275"/>
      <c r="O32" s="1276"/>
    </row>
    <row r="33" spans="1:15" x14ac:dyDescent="0.2">
      <c r="A33" s="1277">
        <v>0</v>
      </c>
      <c r="B33" s="1278"/>
      <c r="C33" s="1279"/>
      <c r="D33" s="1280"/>
      <c r="E33" s="1281" t="s">
        <v>525</v>
      </c>
      <c r="F33" s="1282">
        <f>A33*D33</f>
        <v>0</v>
      </c>
      <c r="G33" s="1186"/>
      <c r="H33" s="1172"/>
      <c r="I33" s="1138"/>
      <c r="J33" s="1156" t="s">
        <v>6</v>
      </c>
      <c r="K33" s="1156" t="s">
        <v>6</v>
      </c>
      <c r="L33" s="1156" t="s">
        <v>526</v>
      </c>
      <c r="M33" s="1283" t="s">
        <v>6</v>
      </c>
      <c r="N33" s="1283" t="s">
        <v>527</v>
      </c>
      <c r="O33" s="1284" t="s">
        <v>528</v>
      </c>
    </row>
    <row r="34" spans="1:15" x14ac:dyDescent="0.2">
      <c r="A34" s="1285">
        <v>0</v>
      </c>
      <c r="B34" s="1286" t="s">
        <v>529</v>
      </c>
      <c r="C34" s="1287"/>
      <c r="D34" s="1288"/>
      <c r="E34" s="1289" t="s">
        <v>525</v>
      </c>
      <c r="F34" s="1290">
        <f>A34*D34</f>
        <v>0</v>
      </c>
      <c r="G34" s="1245"/>
      <c r="H34" s="1137"/>
      <c r="I34" s="1138"/>
      <c r="J34" s="1180" t="s">
        <v>530</v>
      </c>
      <c r="K34" s="1180" t="s">
        <v>531</v>
      </c>
      <c r="L34" s="1180" t="s">
        <v>532</v>
      </c>
      <c r="M34" s="1238" t="s">
        <v>511</v>
      </c>
      <c r="N34" s="1238" t="s">
        <v>522</v>
      </c>
      <c r="O34" s="1291" t="s">
        <v>523</v>
      </c>
    </row>
    <row r="35" spans="1:15" x14ac:dyDescent="0.2">
      <c r="A35" s="1292"/>
      <c r="B35" s="1293">
        <v>0</v>
      </c>
      <c r="C35" s="1294" t="s">
        <v>533</v>
      </c>
      <c r="D35" s="1295"/>
      <c r="E35" s="1296" t="s">
        <v>534</v>
      </c>
      <c r="F35" s="1297">
        <f>B35*D35</f>
        <v>0</v>
      </c>
      <c r="G35" s="1294"/>
      <c r="H35" s="1137"/>
      <c r="I35" s="1138"/>
      <c r="J35" s="1298"/>
      <c r="K35" s="1299"/>
      <c r="L35" s="1300"/>
      <c r="M35" s="1301"/>
      <c r="N35" s="1302"/>
      <c r="O35" s="1303"/>
    </row>
    <row r="36" spans="1:15" x14ac:dyDescent="0.2">
      <c r="A36" s="1304" t="s">
        <v>529</v>
      </c>
      <c r="B36" s="1305">
        <v>0</v>
      </c>
      <c r="C36" s="1194" t="s">
        <v>533</v>
      </c>
      <c r="D36" s="1306"/>
      <c r="E36" s="1307" t="s">
        <v>534</v>
      </c>
      <c r="F36" s="1308">
        <f>B36*D36</f>
        <v>0</v>
      </c>
      <c r="G36" s="1197"/>
      <c r="H36" s="1137"/>
      <c r="I36" s="1138"/>
      <c r="J36" s="1198">
        <f>M27</f>
        <v>0</v>
      </c>
      <c r="K36" s="1309" t="s">
        <v>535</v>
      </c>
      <c r="L36" s="1198"/>
      <c r="M36" s="1200">
        <f>J36-L36</f>
        <v>0</v>
      </c>
      <c r="N36" s="1310"/>
      <c r="O36" s="1311">
        <f>M36*N36</f>
        <v>0</v>
      </c>
    </row>
    <row r="37" spans="1:15" ht="15.75" thickBot="1" x14ac:dyDescent="0.25">
      <c r="A37" s="1312"/>
      <c r="B37" s="1313"/>
      <c r="C37" s="1313"/>
      <c r="D37" s="1314" t="s">
        <v>536</v>
      </c>
      <c r="E37" s="1315"/>
      <c r="F37" s="1316">
        <f>SUM(F33:F36)</f>
        <v>0</v>
      </c>
      <c r="G37" s="1317"/>
      <c r="H37" s="1216"/>
      <c r="I37" s="1216"/>
      <c r="J37" s="1318"/>
      <c r="K37" s="1313"/>
      <c r="L37" s="1313"/>
      <c r="M37" s="1314" t="s">
        <v>537</v>
      </c>
      <c r="N37" s="1216"/>
      <c r="O37" s="1319">
        <f>SUM(O35:O36)</f>
        <v>0</v>
      </c>
    </row>
    <row r="38" spans="1:15" ht="15.75" thickTop="1" x14ac:dyDescent="0.2">
      <c r="A38" s="1136"/>
      <c r="B38" s="1137"/>
      <c r="C38" s="1138"/>
      <c r="D38" s="1147"/>
      <c r="E38" s="1137"/>
      <c r="F38" s="1320"/>
      <c r="G38" s="1137"/>
      <c r="H38" s="1138"/>
      <c r="I38" s="1138"/>
      <c r="J38" s="1138"/>
      <c r="K38" s="1138"/>
      <c r="L38" s="1138"/>
      <c r="M38" s="1138"/>
      <c r="N38" s="1138"/>
      <c r="O38" s="1139"/>
    </row>
    <row r="39" spans="1:15" x14ac:dyDescent="0.2">
      <c r="A39" s="1145" t="s">
        <v>538</v>
      </c>
      <c r="B39" s="1147"/>
      <c r="C39" s="1194"/>
      <c r="D39" s="1138"/>
      <c r="E39" s="1138"/>
      <c r="F39" s="1321"/>
      <c r="G39" s="1138"/>
      <c r="H39" s="1138"/>
      <c r="I39" s="1138"/>
      <c r="J39" s="1138"/>
      <c r="K39" s="1194"/>
      <c r="L39" s="1138"/>
      <c r="M39" s="1138"/>
      <c r="N39" s="1138"/>
      <c r="O39" s="1139"/>
    </row>
    <row r="40" spans="1:15" x14ac:dyDescent="0.2">
      <c r="A40" s="1322" t="s">
        <v>46</v>
      </c>
      <c r="B40" s="1323" t="s">
        <v>539</v>
      </c>
      <c r="C40" s="1324"/>
      <c r="D40" s="1165" t="s">
        <v>540</v>
      </c>
      <c r="E40" s="1164"/>
      <c r="F40" s="1154"/>
      <c r="G40" s="1325"/>
      <c r="H40" s="1323"/>
      <c r="I40" s="1325"/>
      <c r="J40" s="1326" t="s">
        <v>53</v>
      </c>
      <c r="K40" s="1327" t="s">
        <v>541</v>
      </c>
      <c r="L40" s="1326" t="s">
        <v>522</v>
      </c>
      <c r="M40" s="1879" t="s">
        <v>542</v>
      </c>
      <c r="N40" s="1880"/>
      <c r="O40" s="1328" t="s">
        <v>7</v>
      </c>
    </row>
    <row r="41" spans="1:15" x14ac:dyDescent="0.2">
      <c r="A41" s="1192" t="s">
        <v>47</v>
      </c>
      <c r="B41" s="1230" t="s">
        <v>543</v>
      </c>
      <c r="C41" s="1176"/>
      <c r="D41" s="1230" t="s">
        <v>543</v>
      </c>
      <c r="E41" s="1176"/>
      <c r="F41" s="1230" t="s">
        <v>544</v>
      </c>
      <c r="G41" s="1176"/>
      <c r="H41" s="1329" t="s">
        <v>6</v>
      </c>
      <c r="I41" s="1272" t="s">
        <v>520</v>
      </c>
      <c r="J41" s="1236" t="s">
        <v>13</v>
      </c>
      <c r="K41" s="1230" t="s">
        <v>545</v>
      </c>
      <c r="L41" s="1236" t="s">
        <v>546</v>
      </c>
      <c r="M41" s="1236" t="s">
        <v>350</v>
      </c>
      <c r="N41" s="1236" t="s">
        <v>547</v>
      </c>
      <c r="O41" s="1291" t="s">
        <v>548</v>
      </c>
    </row>
    <row r="42" spans="1:15" x14ac:dyDescent="0.2">
      <c r="A42" s="1330" t="s">
        <v>549</v>
      </c>
      <c r="B42" s="1157"/>
      <c r="C42" s="1324"/>
      <c r="D42" s="1157"/>
      <c r="E42" s="1324"/>
      <c r="F42" s="1157"/>
      <c r="G42" s="1324"/>
      <c r="H42" s="1331"/>
      <c r="I42" s="1324"/>
      <c r="J42" s="1171"/>
      <c r="K42" s="1171"/>
      <c r="L42" s="1332"/>
      <c r="M42" s="1333"/>
      <c r="N42" s="1157"/>
      <c r="O42" s="1334"/>
    </row>
    <row r="43" spans="1:15" x14ac:dyDescent="0.2">
      <c r="A43" s="1335" t="s">
        <v>550</v>
      </c>
      <c r="B43" s="1336"/>
      <c r="C43" s="1148" t="s">
        <v>520</v>
      </c>
      <c r="D43" s="1336"/>
      <c r="E43" s="1148" t="s">
        <v>520</v>
      </c>
      <c r="F43" s="1336"/>
      <c r="G43" s="1148" t="s">
        <v>520</v>
      </c>
      <c r="H43" s="1337">
        <f>B43+D43+F43</f>
        <v>0</v>
      </c>
      <c r="I43" s="1148" t="s">
        <v>520</v>
      </c>
      <c r="J43" s="1242" t="s">
        <v>551</v>
      </c>
      <c r="K43" s="1242"/>
      <c r="L43" s="1338"/>
      <c r="M43" s="1339">
        <v>0.14000000000000001</v>
      </c>
      <c r="N43" s="1340"/>
      <c r="O43" s="1341">
        <f>H43*L43/100+N43/(1+M43)</f>
        <v>0</v>
      </c>
    </row>
    <row r="44" spans="1:15" x14ac:dyDescent="0.2">
      <c r="A44" s="1342"/>
      <c r="B44" s="1196"/>
      <c r="C44" s="1194"/>
      <c r="D44" s="1196"/>
      <c r="E44" s="1194"/>
      <c r="F44" s="1196"/>
      <c r="G44" s="1194"/>
      <c r="H44" s="1343"/>
      <c r="I44" s="1194"/>
      <c r="J44" s="1179" t="s">
        <v>552</v>
      </c>
      <c r="K44" s="1179"/>
      <c r="L44" s="1344"/>
      <c r="M44" s="1345"/>
      <c r="N44" s="1346">
        <f>N43/1.14</f>
        <v>0</v>
      </c>
      <c r="O44" s="1347"/>
    </row>
    <row r="45" spans="1:15" ht="15.75" thickBot="1" x14ac:dyDescent="0.25">
      <c r="A45" s="1312"/>
      <c r="B45" s="1313"/>
      <c r="C45" s="1313"/>
      <c r="D45" s="1313"/>
      <c r="E45" s="1313"/>
      <c r="F45" s="1313"/>
      <c r="G45" s="1313"/>
      <c r="H45" s="1348"/>
      <c r="I45" s="1313"/>
      <c r="J45" s="1313"/>
      <c r="K45" s="1349"/>
      <c r="L45" s="1257"/>
      <c r="M45" s="1314" t="s">
        <v>553</v>
      </c>
      <c r="N45" s="1315"/>
      <c r="O45" s="1350">
        <f>SUM(O42:O44)</f>
        <v>0</v>
      </c>
    </row>
    <row r="46" spans="1:15" ht="15.75" thickTop="1" x14ac:dyDescent="0.2">
      <c r="A46" s="1136"/>
      <c r="B46" s="1137"/>
      <c r="C46" s="1137"/>
      <c r="D46" s="1137"/>
      <c r="E46" s="1137"/>
      <c r="F46" s="1137"/>
      <c r="G46" s="1137"/>
      <c r="H46" s="1137"/>
      <c r="I46" s="1137"/>
      <c r="J46" s="1137"/>
      <c r="K46" s="1137"/>
      <c r="L46" s="1137"/>
      <c r="M46" s="1137"/>
      <c r="N46" s="1137"/>
      <c r="O46" s="1139"/>
    </row>
    <row r="47" spans="1:15" ht="15.75" thickBot="1" x14ac:dyDescent="0.25">
      <c r="A47" s="1351" t="s">
        <v>554</v>
      </c>
      <c r="B47" s="1352"/>
      <c r="C47" s="1353"/>
      <c r="D47" s="1353"/>
      <c r="E47" s="1353"/>
      <c r="F47" s="1353"/>
      <c r="G47" s="1353"/>
      <c r="H47" s="1353"/>
      <c r="I47" s="1353"/>
      <c r="J47" s="1353"/>
      <c r="K47" s="1353"/>
      <c r="L47" s="1353"/>
      <c r="M47" s="1353"/>
      <c r="N47" s="1216"/>
      <c r="O47" s="1139"/>
    </row>
    <row r="48" spans="1:15" ht="16.5" thickTop="1" thickBot="1" x14ac:dyDescent="0.25">
      <c r="A48" s="1354" t="s">
        <v>4</v>
      </c>
      <c r="B48" s="1355"/>
      <c r="C48" s="1355"/>
      <c r="D48" s="1881" t="s">
        <v>555</v>
      </c>
      <c r="E48" s="1882"/>
      <c r="F48" s="1883"/>
      <c r="G48" s="1356"/>
      <c r="H48" s="1357" t="s">
        <v>556</v>
      </c>
      <c r="I48" s="1356"/>
      <c r="J48" s="1358"/>
      <c r="K48" s="1359"/>
      <c r="L48" s="1881" t="s">
        <v>61</v>
      </c>
      <c r="M48" s="1884"/>
      <c r="N48" s="1885"/>
      <c r="O48" s="1360" t="s">
        <v>7</v>
      </c>
    </row>
    <row r="49" spans="1:15" x14ac:dyDescent="0.2">
      <c r="A49" s="1361"/>
      <c r="B49" s="1362"/>
      <c r="C49" s="1362"/>
      <c r="D49" s="1363" t="s">
        <v>414</v>
      </c>
      <c r="E49" s="1362"/>
      <c r="F49" s="1364"/>
      <c r="G49" s="1365"/>
      <c r="H49" s="1366"/>
      <c r="I49" s="1366"/>
      <c r="J49" s="1366"/>
      <c r="K49" s="1367"/>
      <c r="L49" s="1365"/>
      <c r="M49" s="1368"/>
      <c r="N49" s="1369"/>
      <c r="O49" s="1370">
        <v>0</v>
      </c>
    </row>
    <row r="50" spans="1:15" ht="15.75" thickBot="1" x14ac:dyDescent="0.25">
      <c r="A50" s="1371"/>
      <c r="B50" s="1372"/>
      <c r="C50" s="1353"/>
      <c r="D50" s="1373"/>
      <c r="E50" s="1353"/>
      <c r="F50" s="1374"/>
      <c r="G50" s="1373"/>
      <c r="H50" s="1353"/>
      <c r="I50" s="1353"/>
      <c r="J50" s="1353"/>
      <c r="K50" s="1374"/>
      <c r="L50" s="1375"/>
      <c r="M50" s="1315"/>
      <c r="N50" s="1317"/>
      <c r="O50" s="1376"/>
    </row>
    <row r="51" spans="1:15" ht="15.75" thickTop="1" x14ac:dyDescent="0.2">
      <c r="A51" s="1136"/>
      <c r="B51" s="1137"/>
      <c r="C51" s="1137"/>
      <c r="D51" s="1137"/>
      <c r="E51" s="1137"/>
      <c r="F51" s="1137"/>
      <c r="G51" s="1137"/>
      <c r="H51" s="1137"/>
      <c r="I51" s="1137"/>
      <c r="J51" s="1137"/>
      <c r="K51" s="1137"/>
      <c r="L51" s="1137"/>
      <c r="M51" s="1137"/>
      <c r="N51" s="1137"/>
      <c r="O51" s="1139"/>
    </row>
    <row r="52" spans="1:15" x14ac:dyDescent="0.2">
      <c r="A52" s="1377" t="s">
        <v>557</v>
      </c>
      <c r="B52" s="1194"/>
      <c r="C52" s="1194"/>
      <c r="D52" s="1194"/>
      <c r="E52" s="1194"/>
      <c r="F52" s="1194"/>
      <c r="G52" s="1194"/>
      <c r="H52" s="1194"/>
      <c r="I52" s="1194"/>
      <c r="J52" s="1194"/>
      <c r="K52" s="1194"/>
      <c r="L52" s="1194"/>
      <c r="M52" s="1194"/>
      <c r="N52" s="1194"/>
      <c r="O52" s="1378"/>
    </row>
    <row r="53" spans="1:15" x14ac:dyDescent="0.2">
      <c r="A53" s="1228" t="s">
        <v>4</v>
      </c>
      <c r="B53" s="1272"/>
      <c r="C53" s="1176"/>
      <c r="D53" s="1196"/>
      <c r="E53" s="1274" t="s">
        <v>558</v>
      </c>
      <c r="F53" s="1194"/>
      <c r="G53" s="1194"/>
      <c r="H53" s="1194"/>
      <c r="I53" s="1194"/>
      <c r="J53" s="1196"/>
      <c r="K53" s="1274" t="s">
        <v>61</v>
      </c>
      <c r="L53" s="1194"/>
      <c r="M53" s="1194"/>
      <c r="N53" s="1379" t="s">
        <v>6</v>
      </c>
      <c r="O53" s="1291" t="s">
        <v>7</v>
      </c>
    </row>
    <row r="54" spans="1:15" x14ac:dyDescent="0.2">
      <c r="A54" s="1136"/>
      <c r="B54" s="1138"/>
      <c r="C54" s="1138"/>
      <c r="D54" s="1169"/>
      <c r="E54" s="1138"/>
      <c r="F54" s="1138"/>
      <c r="G54" s="1380"/>
      <c r="H54" s="1138"/>
      <c r="I54" s="1138"/>
      <c r="J54" s="1169"/>
      <c r="K54" s="1138"/>
      <c r="L54" s="1138"/>
      <c r="M54" s="1138"/>
      <c r="N54" s="1345"/>
      <c r="O54" s="1381"/>
    </row>
    <row r="55" spans="1:15" x14ac:dyDescent="0.2">
      <c r="A55" s="1382"/>
      <c r="B55" s="1176"/>
      <c r="C55" s="1176"/>
      <c r="D55" s="1175"/>
      <c r="E55" s="1229"/>
      <c r="F55" s="1229"/>
      <c r="G55" s="1229"/>
      <c r="H55" s="1229"/>
      <c r="I55" s="1229"/>
      <c r="J55" s="1179"/>
      <c r="K55" s="1229"/>
      <c r="L55" s="1194"/>
      <c r="M55" s="1194"/>
      <c r="N55" s="1238">
        <v>4</v>
      </c>
      <c r="O55" s="1383">
        <v>0</v>
      </c>
    </row>
    <row r="56" spans="1:15" x14ac:dyDescent="0.2">
      <c r="A56" s="1384" t="s">
        <v>559</v>
      </c>
      <c r="B56" s="1385"/>
      <c r="C56" s="1194"/>
      <c r="D56" s="1169"/>
      <c r="E56" s="1386"/>
      <c r="F56" s="1386"/>
      <c r="G56" s="1168"/>
      <c r="H56" s="1168"/>
      <c r="I56" s="1168"/>
      <c r="J56" s="1157"/>
      <c r="K56" s="1168"/>
      <c r="L56" s="1168"/>
      <c r="M56" s="1324"/>
      <c r="N56" s="1333"/>
      <c r="O56" s="1328" t="s">
        <v>560</v>
      </c>
    </row>
    <row r="57" spans="1:15" x14ac:dyDescent="0.2">
      <c r="A57" s="1192" t="s">
        <v>561</v>
      </c>
      <c r="B57" s="1230" t="s">
        <v>491</v>
      </c>
      <c r="C57" s="1176"/>
      <c r="D57" s="1230" t="s">
        <v>503</v>
      </c>
      <c r="E57" s="1176"/>
      <c r="F57" s="1176"/>
      <c r="G57" s="1176"/>
      <c r="H57" s="1176"/>
      <c r="I57" s="1176"/>
      <c r="J57" s="1273" t="s">
        <v>562</v>
      </c>
      <c r="K57" s="1387"/>
      <c r="L57" s="1387"/>
      <c r="M57" s="1387"/>
      <c r="N57" s="1238" t="s">
        <v>6</v>
      </c>
      <c r="O57" s="1291" t="s">
        <v>563</v>
      </c>
    </row>
    <row r="58" spans="1:15" x14ac:dyDescent="0.2">
      <c r="A58" s="1285"/>
      <c r="B58" s="1388"/>
      <c r="C58" s="1389"/>
      <c r="D58" s="1336"/>
      <c r="E58" s="1148"/>
      <c r="F58" s="1148"/>
      <c r="G58" s="1148"/>
      <c r="H58" s="1148"/>
      <c r="I58" s="1148"/>
      <c r="J58" s="1336"/>
      <c r="K58" s="1148"/>
      <c r="L58" s="1148"/>
      <c r="M58" s="1148"/>
      <c r="N58" s="1390" t="s">
        <v>564</v>
      </c>
      <c r="O58" s="1391">
        <v>0</v>
      </c>
    </row>
    <row r="59" spans="1:15" x14ac:dyDescent="0.2">
      <c r="A59" s="1392"/>
      <c r="B59" s="1177"/>
      <c r="C59" s="1176"/>
      <c r="D59" s="1393" t="s">
        <v>565</v>
      </c>
      <c r="E59" s="1394" t="s">
        <v>566</v>
      </c>
      <c r="F59" s="1229"/>
      <c r="G59" s="1229"/>
      <c r="H59" s="1229"/>
      <c r="I59" s="1229"/>
      <c r="J59" s="1175" t="s">
        <v>567</v>
      </c>
      <c r="K59" s="1229"/>
      <c r="L59" s="1229"/>
      <c r="M59" s="1229"/>
      <c r="N59" s="1180" t="s">
        <v>568</v>
      </c>
      <c r="O59" s="1395">
        <v>0</v>
      </c>
    </row>
    <row r="60" spans="1:15" x14ac:dyDescent="0.2">
      <c r="A60" s="1396"/>
      <c r="B60" s="1397"/>
      <c r="C60" s="1398"/>
      <c r="D60" s="1398"/>
      <c r="E60" s="1398"/>
      <c r="F60" s="1398"/>
      <c r="G60" s="1398"/>
      <c r="H60" s="1398"/>
      <c r="I60" s="1398"/>
      <c r="J60" s="1399" t="s">
        <v>569</v>
      </c>
      <c r="K60" s="1153"/>
      <c r="L60" s="1153"/>
      <c r="M60" s="1153"/>
      <c r="N60" s="1379" t="s">
        <v>568</v>
      </c>
      <c r="O60" s="1400">
        <f>O59</f>
        <v>0</v>
      </c>
    </row>
    <row r="61" spans="1:15" ht="15.75" thickBot="1" x14ac:dyDescent="0.25">
      <c r="A61" s="1312"/>
      <c r="B61" s="1313"/>
      <c r="C61" s="1313"/>
      <c r="D61" s="1313"/>
      <c r="E61" s="1313"/>
      <c r="F61" s="1313"/>
      <c r="G61" s="1313"/>
      <c r="H61" s="1313"/>
      <c r="I61" s="1401"/>
      <c r="J61" s="1402" t="s">
        <v>570</v>
      </c>
      <c r="K61" s="1216"/>
      <c r="L61" s="1216"/>
      <c r="M61" s="1216"/>
      <c r="N61" s="1216"/>
      <c r="O61" s="1403">
        <f>O58+O55+O45+O37+F37</f>
        <v>0</v>
      </c>
    </row>
    <row r="62" spans="1:15" ht="15.75" thickTop="1" x14ac:dyDescent="0.2"/>
    <row r="63" spans="1:15" x14ac:dyDescent="0.2">
      <c r="A63" s="1404" t="s">
        <v>571</v>
      </c>
      <c r="B63" s="1864" t="s">
        <v>572</v>
      </c>
      <c r="C63" s="1865"/>
      <c r="D63" s="1865"/>
      <c r="E63" s="1865"/>
      <c r="F63" s="1865"/>
      <c r="G63" s="1865"/>
      <c r="H63" s="1865"/>
      <c r="I63" s="1865"/>
      <c r="J63" s="1865"/>
      <c r="K63" s="1865"/>
      <c r="L63" s="1865"/>
      <c r="M63" s="1865"/>
      <c r="N63" s="1865"/>
      <c r="O63" s="1865"/>
    </row>
    <row r="64" spans="1:15" x14ac:dyDescent="0.2">
      <c r="A64" s="1405"/>
      <c r="B64" s="1406"/>
      <c r="J64" s="1407"/>
    </row>
    <row r="65" spans="1:15" ht="60.75" customHeight="1" x14ac:dyDescent="0.2">
      <c r="A65" s="1405"/>
      <c r="B65" s="1864" t="s">
        <v>573</v>
      </c>
      <c r="C65" s="1865"/>
      <c r="D65" s="1865"/>
      <c r="E65" s="1865"/>
      <c r="F65" s="1865"/>
      <c r="G65" s="1865"/>
      <c r="H65" s="1865"/>
      <c r="I65" s="1865"/>
      <c r="J65" s="1865"/>
      <c r="K65" s="1865"/>
      <c r="L65" s="1865"/>
      <c r="M65" s="1865"/>
      <c r="N65" s="1865"/>
      <c r="O65" s="1865"/>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view="pageBreakPreview" zoomScale="90" zoomScaleNormal="75" zoomScaleSheetLayoutView="90" workbookViewId="0"/>
  </sheetViews>
  <sheetFormatPr defaultRowHeight="15" x14ac:dyDescent="0.2"/>
  <cols>
    <col min="1" max="1" width="33.44140625" customWidth="1"/>
    <col min="2" max="2" width="10.77734375" customWidth="1"/>
    <col min="9" max="9" width="11.6640625" customWidth="1"/>
  </cols>
  <sheetData>
    <row r="1" spans="1:9" ht="22.5" customHeight="1" thickTop="1" x14ac:dyDescent="0.2">
      <c r="A1" s="1494" t="s">
        <v>64</v>
      </c>
      <c r="B1" s="223"/>
      <c r="C1" s="223"/>
      <c r="D1" s="223"/>
      <c r="E1" s="223"/>
      <c r="F1" s="223"/>
      <c r="G1" s="223"/>
      <c r="H1" s="223"/>
      <c r="I1" s="224"/>
    </row>
    <row r="2" spans="1:9" ht="21.75" customHeight="1" x14ac:dyDescent="0.2">
      <c r="A2" s="257" t="s">
        <v>218</v>
      </c>
      <c r="B2" s="159"/>
      <c r="C2" s="159"/>
      <c r="D2" s="125"/>
      <c r="E2" s="275" t="s">
        <v>231</v>
      </c>
      <c r="F2" s="159"/>
      <c r="G2" s="159"/>
      <c r="H2" s="159"/>
      <c r="I2" s="244"/>
    </row>
    <row r="3" spans="1:9" ht="15.75" x14ac:dyDescent="0.2">
      <c r="A3" s="266" t="s">
        <v>357</v>
      </c>
      <c r="B3" s="1481">
        <f>'Input Data'!$D$28</f>
        <v>0</v>
      </c>
      <c r="C3" s="231"/>
      <c r="D3" s="207" t="s">
        <v>297</v>
      </c>
      <c r="E3" s="1756">
        <f>'Input Data'!$D$5</f>
        <v>0</v>
      </c>
      <c r="F3" s="1757"/>
      <c r="G3" s="125"/>
      <c r="H3" s="125"/>
      <c r="I3" s="131"/>
    </row>
    <row r="4" spans="1:9" ht="15.75" thickBot="1" x14ac:dyDescent="0.25">
      <c r="A4" s="201"/>
      <c r="B4" s="140"/>
      <c r="C4" s="140"/>
      <c r="D4" s="140"/>
      <c r="E4" s="140"/>
      <c r="F4" s="140"/>
      <c r="G4" s="140"/>
      <c r="H4" s="140"/>
      <c r="I4" s="202"/>
    </row>
    <row r="5" spans="1:9" ht="15.75" thickTop="1" x14ac:dyDescent="0.2">
      <c r="A5" s="160"/>
      <c r="B5" s="127"/>
      <c r="C5" s="127"/>
      <c r="D5" s="127"/>
      <c r="E5" s="127"/>
      <c r="F5" s="127"/>
      <c r="G5" s="127"/>
      <c r="H5" s="127"/>
      <c r="I5" s="128"/>
    </row>
    <row r="6" spans="1:9" x14ac:dyDescent="0.2">
      <c r="A6" s="236" t="s">
        <v>14</v>
      </c>
      <c r="B6" s="229"/>
      <c r="C6" s="229"/>
      <c r="D6" s="229"/>
      <c r="E6" s="229"/>
      <c r="F6" s="229"/>
      <c r="G6" s="229"/>
      <c r="H6" s="229"/>
      <c r="I6" s="246"/>
    </row>
    <row r="7" spans="1:9" ht="31.5" x14ac:dyDescent="0.2">
      <c r="A7" s="1908" t="s">
        <v>65</v>
      </c>
      <c r="B7" s="1909"/>
      <c r="C7" s="1909"/>
      <c r="D7" s="1909"/>
      <c r="E7" s="1909"/>
      <c r="F7" s="1910"/>
      <c r="G7" s="996" t="s">
        <v>17</v>
      </c>
      <c r="H7" s="996" t="s">
        <v>428</v>
      </c>
      <c r="I7" s="997" t="s">
        <v>43</v>
      </c>
    </row>
    <row r="8" spans="1:9" x14ac:dyDescent="0.2">
      <c r="A8" s="1903"/>
      <c r="B8" s="1904"/>
      <c r="C8" s="1904"/>
      <c r="D8" s="1904"/>
      <c r="E8" s="1904"/>
      <c r="F8" s="1902"/>
      <c r="G8" s="277"/>
      <c r="H8" s="999"/>
      <c r="I8" s="989">
        <f t="shared" ref="I8:I14" si="0">G8*H8</f>
        <v>0</v>
      </c>
    </row>
    <row r="9" spans="1:9" x14ac:dyDescent="0.2">
      <c r="A9" s="1895"/>
      <c r="B9" s="1896"/>
      <c r="C9" s="1896"/>
      <c r="D9" s="1896"/>
      <c r="E9" s="1896"/>
      <c r="F9" s="1887"/>
      <c r="G9" s="249"/>
      <c r="H9" s="1000"/>
      <c r="I9" s="914">
        <f t="shared" si="0"/>
        <v>0</v>
      </c>
    </row>
    <row r="10" spans="1:9" x14ac:dyDescent="0.2">
      <c r="A10" s="1895"/>
      <c r="B10" s="1896"/>
      <c r="C10" s="1896"/>
      <c r="D10" s="1896"/>
      <c r="E10" s="1896"/>
      <c r="F10" s="1887"/>
      <c r="G10" s="249"/>
      <c r="H10" s="1000"/>
      <c r="I10" s="914">
        <f t="shared" si="0"/>
        <v>0</v>
      </c>
    </row>
    <row r="11" spans="1:9" x14ac:dyDescent="0.2">
      <c r="A11" s="1895"/>
      <c r="B11" s="1896"/>
      <c r="C11" s="1896"/>
      <c r="D11" s="1896"/>
      <c r="E11" s="1896"/>
      <c r="F11" s="1887"/>
      <c r="G11" s="249"/>
      <c r="H11" s="1000"/>
      <c r="I11" s="914">
        <f t="shared" si="0"/>
        <v>0</v>
      </c>
    </row>
    <row r="12" spans="1:9" x14ac:dyDescent="0.2">
      <c r="A12" s="1895"/>
      <c r="B12" s="1896"/>
      <c r="C12" s="1896"/>
      <c r="D12" s="1896"/>
      <c r="E12" s="1896"/>
      <c r="F12" s="1887"/>
      <c r="G12" s="249"/>
      <c r="H12" s="1000"/>
      <c r="I12" s="914">
        <f t="shared" si="0"/>
        <v>0</v>
      </c>
    </row>
    <row r="13" spans="1:9" x14ac:dyDescent="0.2">
      <c r="A13" s="1895"/>
      <c r="B13" s="1896"/>
      <c r="C13" s="1896"/>
      <c r="D13" s="1896"/>
      <c r="E13" s="1896"/>
      <c r="F13" s="1887"/>
      <c r="G13" s="249"/>
      <c r="H13" s="1000"/>
      <c r="I13" s="914">
        <f t="shared" si="0"/>
        <v>0</v>
      </c>
    </row>
    <row r="14" spans="1:9" ht="15.75" thickBot="1" x14ac:dyDescent="0.25">
      <c r="A14" s="1897"/>
      <c r="B14" s="1898"/>
      <c r="C14" s="1898"/>
      <c r="D14" s="1898"/>
      <c r="E14" s="1898"/>
      <c r="F14" s="1892"/>
      <c r="G14" s="317"/>
      <c r="H14" s="1001"/>
      <c r="I14" s="951">
        <f t="shared" si="0"/>
        <v>0</v>
      </c>
    </row>
    <row r="15" spans="1:9" x14ac:dyDescent="0.2">
      <c r="A15" s="318"/>
      <c r="B15" s="319"/>
      <c r="C15" s="319"/>
      <c r="D15" s="319"/>
      <c r="E15" s="319"/>
      <c r="F15" s="319"/>
      <c r="G15" s="319"/>
      <c r="H15" s="966" t="s">
        <v>66</v>
      </c>
      <c r="I15" s="952">
        <f>SUM(I8:I14)</f>
        <v>0</v>
      </c>
    </row>
    <row r="16" spans="1:9" x14ac:dyDescent="0.2">
      <c r="A16" s="230"/>
      <c r="B16" s="235"/>
      <c r="C16" s="235"/>
      <c r="D16" s="235"/>
      <c r="E16" s="235"/>
      <c r="F16" s="235"/>
      <c r="G16" s="235"/>
      <c r="H16" s="931" t="s">
        <v>358</v>
      </c>
      <c r="I16" s="922"/>
    </row>
    <row r="17" spans="1:9" x14ac:dyDescent="0.2">
      <c r="A17" s="236" t="s">
        <v>15</v>
      </c>
      <c r="B17" s="225"/>
      <c r="C17" s="225"/>
      <c r="D17" s="225"/>
      <c r="E17" s="225"/>
      <c r="F17" s="225"/>
      <c r="G17" s="225"/>
      <c r="H17" s="1002"/>
      <c r="I17" s="990"/>
    </row>
    <row r="18" spans="1:9" ht="30" x14ac:dyDescent="0.2">
      <c r="A18" s="1905" t="s">
        <v>16</v>
      </c>
      <c r="B18" s="1906"/>
      <c r="C18" s="1906"/>
      <c r="D18" s="1906"/>
      <c r="E18" s="1907"/>
      <c r="F18" s="979" t="s">
        <v>17</v>
      </c>
      <c r="G18" s="979" t="s">
        <v>67</v>
      </c>
      <c r="H18" s="1003" t="s">
        <v>428</v>
      </c>
      <c r="I18" s="976" t="s">
        <v>43</v>
      </c>
    </row>
    <row r="19" spans="1:9" x14ac:dyDescent="0.2">
      <c r="A19" s="1903"/>
      <c r="B19" s="1904"/>
      <c r="C19" s="1904"/>
      <c r="D19" s="1904"/>
      <c r="E19" s="1902"/>
      <c r="F19" s="278"/>
      <c r="G19" s="278"/>
      <c r="H19" s="1004"/>
      <c r="I19" s="913">
        <f t="shared" ref="I19:I27" si="1">F19*G19*H19</f>
        <v>0</v>
      </c>
    </row>
    <row r="20" spans="1:9" x14ac:dyDescent="0.2">
      <c r="A20" s="1895"/>
      <c r="B20" s="1896"/>
      <c r="C20" s="1896"/>
      <c r="D20" s="1896"/>
      <c r="E20" s="1887"/>
      <c r="F20" s="249"/>
      <c r="G20" s="249"/>
      <c r="H20" s="1000"/>
      <c r="I20" s="914">
        <f t="shared" si="1"/>
        <v>0</v>
      </c>
    </row>
    <row r="21" spans="1:9" x14ac:dyDescent="0.2">
      <c r="A21" s="1895"/>
      <c r="B21" s="1896"/>
      <c r="C21" s="1896"/>
      <c r="D21" s="1896"/>
      <c r="E21" s="1887"/>
      <c r="F21" s="249"/>
      <c r="G21" s="249"/>
      <c r="H21" s="1000"/>
      <c r="I21" s="914">
        <f t="shared" si="1"/>
        <v>0</v>
      </c>
    </row>
    <row r="22" spans="1:9" x14ac:dyDescent="0.2">
      <c r="A22" s="1895"/>
      <c r="B22" s="1896"/>
      <c r="C22" s="1896"/>
      <c r="D22" s="1896"/>
      <c r="E22" s="1887"/>
      <c r="F22" s="249"/>
      <c r="G22" s="249"/>
      <c r="H22" s="1000"/>
      <c r="I22" s="914">
        <f t="shared" si="1"/>
        <v>0</v>
      </c>
    </row>
    <row r="23" spans="1:9" x14ac:dyDescent="0.2">
      <c r="A23" s="1895"/>
      <c r="B23" s="1896"/>
      <c r="C23" s="1896"/>
      <c r="D23" s="1896"/>
      <c r="E23" s="1887"/>
      <c r="F23" s="249"/>
      <c r="G23" s="249"/>
      <c r="H23" s="1000"/>
      <c r="I23" s="914">
        <f t="shared" si="1"/>
        <v>0</v>
      </c>
    </row>
    <row r="24" spans="1:9" x14ac:dyDescent="0.2">
      <c r="A24" s="1895"/>
      <c r="B24" s="1896"/>
      <c r="C24" s="1896"/>
      <c r="D24" s="1896"/>
      <c r="E24" s="1887"/>
      <c r="F24" s="249"/>
      <c r="G24" s="249"/>
      <c r="H24" s="1000"/>
      <c r="I24" s="914">
        <f t="shared" si="1"/>
        <v>0</v>
      </c>
    </row>
    <row r="25" spans="1:9" x14ac:dyDescent="0.2">
      <c r="A25" s="1895"/>
      <c r="B25" s="1896"/>
      <c r="C25" s="1896"/>
      <c r="D25" s="1896"/>
      <c r="E25" s="1887"/>
      <c r="F25" s="249"/>
      <c r="G25" s="249"/>
      <c r="H25" s="1000"/>
      <c r="I25" s="914">
        <f t="shared" si="1"/>
        <v>0</v>
      </c>
    </row>
    <row r="26" spans="1:9" x14ac:dyDescent="0.2">
      <c r="A26" s="1895"/>
      <c r="B26" s="1896"/>
      <c r="C26" s="1896"/>
      <c r="D26" s="1896"/>
      <c r="E26" s="1887"/>
      <c r="F26" s="249"/>
      <c r="G26" s="249"/>
      <c r="H26" s="1000"/>
      <c r="I26" s="914">
        <f t="shared" si="1"/>
        <v>0</v>
      </c>
    </row>
    <row r="27" spans="1:9" ht="15.75" thickBot="1" x14ac:dyDescent="0.25">
      <c r="A27" s="1897"/>
      <c r="B27" s="1898"/>
      <c r="C27" s="1898"/>
      <c r="D27" s="1898"/>
      <c r="E27" s="1892"/>
      <c r="F27" s="317"/>
      <c r="G27" s="317"/>
      <c r="H27" s="1001"/>
      <c r="I27" s="951">
        <f t="shared" si="1"/>
        <v>0</v>
      </c>
    </row>
    <row r="28" spans="1:9" x14ac:dyDescent="0.2">
      <c r="A28" s="318"/>
      <c r="B28" s="319"/>
      <c r="C28" s="319"/>
      <c r="D28" s="319"/>
      <c r="E28" s="319"/>
      <c r="F28" s="319"/>
      <c r="G28" s="319"/>
      <c r="H28" s="966" t="s">
        <v>68</v>
      </c>
      <c r="I28" s="952">
        <f>SUM(I19:I27)</f>
        <v>0</v>
      </c>
    </row>
    <row r="29" spans="1:9" x14ac:dyDescent="0.2">
      <c r="A29" s="230"/>
      <c r="B29" s="235"/>
      <c r="C29" s="235"/>
      <c r="D29" s="235"/>
      <c r="E29" s="235"/>
      <c r="F29" s="235"/>
      <c r="G29" s="235"/>
      <c r="H29" s="931" t="s">
        <v>358</v>
      </c>
      <c r="I29" s="922"/>
    </row>
    <row r="30" spans="1:9" x14ac:dyDescent="0.2">
      <c r="A30" s="236" t="s">
        <v>69</v>
      </c>
      <c r="B30" s="225"/>
      <c r="C30" s="225"/>
      <c r="D30" s="225"/>
      <c r="E30" s="225"/>
      <c r="F30" s="225"/>
      <c r="G30" s="225"/>
      <c r="H30" s="1002"/>
      <c r="I30" s="991"/>
    </row>
    <row r="31" spans="1:9" ht="45" x14ac:dyDescent="0.2">
      <c r="A31" s="1905" t="s">
        <v>16</v>
      </c>
      <c r="B31" s="1906"/>
      <c r="C31" s="1906"/>
      <c r="D31" s="1906"/>
      <c r="E31" s="1906"/>
      <c r="F31" s="1907"/>
      <c r="G31" s="974" t="s">
        <v>70</v>
      </c>
      <c r="H31" s="1003" t="s">
        <v>428</v>
      </c>
      <c r="I31" s="976" t="s">
        <v>43</v>
      </c>
    </row>
    <row r="32" spans="1:9" x14ac:dyDescent="0.2">
      <c r="A32" s="1903"/>
      <c r="B32" s="1904"/>
      <c r="C32" s="1904"/>
      <c r="D32" s="1904"/>
      <c r="E32" s="1904"/>
      <c r="F32" s="1902"/>
      <c r="G32" s="278"/>
      <c r="H32" s="1004"/>
      <c r="I32" s="913">
        <f t="shared" ref="I32:I38" si="2">G32*H32</f>
        <v>0</v>
      </c>
    </row>
    <row r="33" spans="1:9" x14ac:dyDescent="0.2">
      <c r="A33" s="1895"/>
      <c r="B33" s="1896"/>
      <c r="C33" s="1896"/>
      <c r="D33" s="1896"/>
      <c r="E33" s="1896"/>
      <c r="F33" s="1887"/>
      <c r="G33" s="249"/>
      <c r="H33" s="1000"/>
      <c r="I33" s="914">
        <f t="shared" si="2"/>
        <v>0</v>
      </c>
    </row>
    <row r="34" spans="1:9" x14ac:dyDescent="0.2">
      <c r="A34" s="1895"/>
      <c r="B34" s="1896"/>
      <c r="C34" s="1896"/>
      <c r="D34" s="1896"/>
      <c r="E34" s="1896"/>
      <c r="F34" s="1887"/>
      <c r="G34" s="249"/>
      <c r="H34" s="1000"/>
      <c r="I34" s="914">
        <f t="shared" si="2"/>
        <v>0</v>
      </c>
    </row>
    <row r="35" spans="1:9" x14ac:dyDescent="0.2">
      <c r="A35" s="1895"/>
      <c r="B35" s="1896"/>
      <c r="C35" s="1896"/>
      <c r="D35" s="1896"/>
      <c r="E35" s="1896"/>
      <c r="F35" s="1887"/>
      <c r="G35" s="249"/>
      <c r="H35" s="1000"/>
      <c r="I35" s="914">
        <f t="shared" si="2"/>
        <v>0</v>
      </c>
    </row>
    <row r="36" spans="1:9" x14ac:dyDescent="0.2">
      <c r="A36" s="1895"/>
      <c r="B36" s="1896"/>
      <c r="C36" s="1896"/>
      <c r="D36" s="1896"/>
      <c r="E36" s="1896"/>
      <c r="F36" s="1887"/>
      <c r="G36" s="249"/>
      <c r="H36" s="1000"/>
      <c r="I36" s="914">
        <f t="shared" si="2"/>
        <v>0</v>
      </c>
    </row>
    <row r="37" spans="1:9" x14ac:dyDescent="0.2">
      <c r="A37" s="1895"/>
      <c r="B37" s="1896"/>
      <c r="C37" s="1896"/>
      <c r="D37" s="1896"/>
      <c r="E37" s="1896"/>
      <c r="F37" s="1887"/>
      <c r="G37" s="249"/>
      <c r="H37" s="1000"/>
      <c r="I37" s="914">
        <f t="shared" si="2"/>
        <v>0</v>
      </c>
    </row>
    <row r="38" spans="1:9" ht="15.75" thickBot="1" x14ac:dyDescent="0.25">
      <c r="A38" s="1897"/>
      <c r="B38" s="1898"/>
      <c r="C38" s="1898"/>
      <c r="D38" s="1898"/>
      <c r="E38" s="1898"/>
      <c r="F38" s="1892"/>
      <c r="G38" s="317"/>
      <c r="H38" s="1001"/>
      <c r="I38" s="951">
        <f t="shared" si="2"/>
        <v>0</v>
      </c>
    </row>
    <row r="39" spans="1:9" x14ac:dyDescent="0.2">
      <c r="A39" s="318"/>
      <c r="B39" s="319"/>
      <c r="C39" s="319"/>
      <c r="D39" s="319"/>
      <c r="E39" s="319"/>
      <c r="F39" s="319"/>
      <c r="G39" s="319"/>
      <c r="H39" s="966" t="s">
        <v>71</v>
      </c>
      <c r="I39" s="952">
        <f>SUM(I32:I38)</f>
        <v>0</v>
      </c>
    </row>
    <row r="40" spans="1:9" x14ac:dyDescent="0.2">
      <c r="A40" s="230"/>
      <c r="B40" s="235"/>
      <c r="C40" s="235"/>
      <c r="D40" s="235"/>
      <c r="E40" s="235"/>
      <c r="F40" s="235"/>
      <c r="G40" s="235"/>
      <c r="H40" s="931" t="s">
        <v>358</v>
      </c>
      <c r="I40" s="922"/>
    </row>
    <row r="41" spans="1:9" x14ac:dyDescent="0.2">
      <c r="A41" s="251" t="s">
        <v>72</v>
      </c>
      <c r="B41" s="252"/>
      <c r="C41" s="252"/>
      <c r="D41" s="252"/>
      <c r="E41" s="252"/>
      <c r="F41" s="252"/>
      <c r="G41" s="252"/>
      <c r="H41" s="1005"/>
      <c r="I41" s="992"/>
    </row>
    <row r="42" spans="1:9" ht="31.5" x14ac:dyDescent="0.2">
      <c r="A42" s="971" t="s">
        <v>4</v>
      </c>
      <c r="B42" s="972" t="s">
        <v>11</v>
      </c>
      <c r="C42" s="972" t="s">
        <v>73</v>
      </c>
      <c r="D42" s="1899" t="s">
        <v>74</v>
      </c>
      <c r="E42" s="1900"/>
      <c r="F42" s="972" t="s">
        <v>12</v>
      </c>
      <c r="G42" s="972" t="s">
        <v>13</v>
      </c>
      <c r="H42" s="1006" t="s">
        <v>428</v>
      </c>
      <c r="I42" s="998" t="s">
        <v>43</v>
      </c>
    </row>
    <row r="43" spans="1:9" x14ac:dyDescent="0.2">
      <c r="A43" s="315"/>
      <c r="B43" s="280"/>
      <c r="C43" s="278"/>
      <c r="D43" s="1901"/>
      <c r="E43" s="1902"/>
      <c r="F43" s="278"/>
      <c r="G43" s="278"/>
      <c r="H43" s="963"/>
      <c r="I43" s="913">
        <f t="shared" ref="I43:I55" si="3">C43*H43</f>
        <v>0</v>
      </c>
    </row>
    <row r="44" spans="1:9" x14ac:dyDescent="0.2">
      <c r="A44" s="254"/>
      <c r="B44" s="249"/>
      <c r="C44" s="249"/>
      <c r="D44" s="1886"/>
      <c r="E44" s="1887"/>
      <c r="F44" s="249"/>
      <c r="G44" s="249"/>
      <c r="H44" s="964"/>
      <c r="I44" s="914">
        <f t="shared" si="3"/>
        <v>0</v>
      </c>
    </row>
    <row r="45" spans="1:9" x14ac:dyDescent="0.2">
      <c r="A45" s="254"/>
      <c r="B45" s="249"/>
      <c r="C45" s="249"/>
      <c r="D45" s="1886"/>
      <c r="E45" s="1887"/>
      <c r="F45" s="249"/>
      <c r="G45" s="249"/>
      <c r="H45" s="964"/>
      <c r="I45" s="914">
        <f t="shared" si="3"/>
        <v>0</v>
      </c>
    </row>
    <row r="46" spans="1:9" x14ac:dyDescent="0.2">
      <c r="A46" s="254"/>
      <c r="B46" s="249"/>
      <c r="C46" s="249"/>
      <c r="D46" s="1886"/>
      <c r="E46" s="1887"/>
      <c r="F46" s="249"/>
      <c r="G46" s="249"/>
      <c r="H46" s="964"/>
      <c r="I46" s="914">
        <f t="shared" si="3"/>
        <v>0</v>
      </c>
    </row>
    <row r="47" spans="1:9" x14ac:dyDescent="0.2">
      <c r="A47" s="254"/>
      <c r="B47" s="249"/>
      <c r="C47" s="249"/>
      <c r="D47" s="1886"/>
      <c r="E47" s="1887"/>
      <c r="F47" s="249"/>
      <c r="G47" s="249"/>
      <c r="H47" s="964"/>
      <c r="I47" s="914">
        <f t="shared" si="3"/>
        <v>0</v>
      </c>
    </row>
    <row r="48" spans="1:9" x14ac:dyDescent="0.2">
      <c r="A48" s="254"/>
      <c r="B48" s="249"/>
      <c r="C48" s="249"/>
      <c r="D48" s="1886"/>
      <c r="E48" s="1887"/>
      <c r="F48" s="249"/>
      <c r="G48" s="249"/>
      <c r="H48" s="964"/>
      <c r="I48" s="914">
        <f t="shared" si="3"/>
        <v>0</v>
      </c>
    </row>
    <row r="49" spans="1:9" x14ac:dyDescent="0.2">
      <c r="A49" s="254"/>
      <c r="B49" s="249"/>
      <c r="C49" s="249"/>
      <c r="D49" s="1886"/>
      <c r="E49" s="1887"/>
      <c r="F49" s="249"/>
      <c r="G49" s="249"/>
      <c r="H49" s="964"/>
      <c r="I49" s="914">
        <f t="shared" si="3"/>
        <v>0</v>
      </c>
    </row>
    <row r="50" spans="1:9" x14ac:dyDescent="0.2">
      <c r="A50" s="254"/>
      <c r="B50" s="249"/>
      <c r="C50" s="249"/>
      <c r="D50" s="1886"/>
      <c r="E50" s="1887"/>
      <c r="F50" s="249"/>
      <c r="G50" s="249"/>
      <c r="H50" s="964"/>
      <c r="I50" s="914">
        <f t="shared" si="3"/>
        <v>0</v>
      </c>
    </row>
    <row r="51" spans="1:9" x14ac:dyDescent="0.2">
      <c r="A51" s="254"/>
      <c r="B51" s="249"/>
      <c r="C51" s="249"/>
      <c r="D51" s="1886"/>
      <c r="E51" s="1887"/>
      <c r="F51" s="249"/>
      <c r="G51" s="249"/>
      <c r="H51" s="964"/>
      <c r="I51" s="914">
        <f t="shared" si="3"/>
        <v>0</v>
      </c>
    </row>
    <row r="52" spans="1:9" x14ac:dyDescent="0.2">
      <c r="A52" s="254"/>
      <c r="B52" s="249"/>
      <c r="C52" s="249"/>
      <c r="D52" s="1886"/>
      <c r="E52" s="1887"/>
      <c r="F52" s="249"/>
      <c r="G52" s="249"/>
      <c r="H52" s="964"/>
      <c r="I52" s="914">
        <f t="shared" si="3"/>
        <v>0</v>
      </c>
    </row>
    <row r="53" spans="1:9" x14ac:dyDescent="0.2">
      <c r="A53" s="254"/>
      <c r="B53" s="249"/>
      <c r="C53" s="249"/>
      <c r="D53" s="1886"/>
      <c r="E53" s="1887"/>
      <c r="F53" s="249"/>
      <c r="G53" s="249"/>
      <c r="H53" s="964"/>
      <c r="I53" s="914">
        <f t="shared" si="3"/>
        <v>0</v>
      </c>
    </row>
    <row r="54" spans="1:9" x14ac:dyDescent="0.2">
      <c r="A54" s="254"/>
      <c r="B54" s="249"/>
      <c r="C54" s="249"/>
      <c r="D54" s="1886"/>
      <c r="E54" s="1887"/>
      <c r="F54" s="249"/>
      <c r="G54" s="249"/>
      <c r="H54" s="964"/>
      <c r="I54" s="914">
        <f t="shared" si="3"/>
        <v>0</v>
      </c>
    </row>
    <row r="55" spans="1:9" ht="15.75" thickBot="1" x14ac:dyDescent="0.25">
      <c r="A55" s="316"/>
      <c r="B55" s="317"/>
      <c r="C55" s="317"/>
      <c r="D55" s="1891"/>
      <c r="E55" s="1892"/>
      <c r="F55" s="317"/>
      <c r="G55" s="317"/>
      <c r="H55" s="965"/>
      <c r="I55" s="951">
        <f t="shared" si="3"/>
        <v>0</v>
      </c>
    </row>
    <row r="56" spans="1:9" x14ac:dyDescent="0.2">
      <c r="A56" s="318"/>
      <c r="B56" s="319"/>
      <c r="C56" s="319"/>
      <c r="D56" s="319"/>
      <c r="E56" s="319"/>
      <c r="F56" s="319"/>
      <c r="G56" s="319"/>
      <c r="H56" s="262" t="s">
        <v>75</v>
      </c>
      <c r="I56" s="952">
        <f>SUM(I43:I55)</f>
        <v>0</v>
      </c>
    </row>
    <row r="57" spans="1:9" x14ac:dyDescent="0.2">
      <c r="A57" s="230"/>
      <c r="B57" s="235"/>
      <c r="C57" s="235"/>
      <c r="D57" s="235"/>
      <c r="E57" s="235"/>
      <c r="F57" s="235"/>
      <c r="G57" s="235"/>
      <c r="H57" s="235" t="s">
        <v>358</v>
      </c>
      <c r="I57" s="922"/>
    </row>
    <row r="58" spans="1:9" ht="15.75" thickBot="1" x14ac:dyDescent="0.25">
      <c r="A58" s="1893"/>
      <c r="B58" s="1894"/>
      <c r="C58" s="1894"/>
      <c r="D58" s="1894"/>
      <c r="E58" s="1894"/>
      <c r="F58" s="1894"/>
      <c r="G58" s="1894"/>
      <c r="H58" s="1894"/>
      <c r="I58" s="993"/>
    </row>
    <row r="59" spans="1:9" ht="16.5" thickTop="1" thickBot="1" x14ac:dyDescent="0.25">
      <c r="A59" s="1888" t="s">
        <v>222</v>
      </c>
      <c r="B59" s="1889"/>
      <c r="C59" s="1889"/>
      <c r="D59" s="1889"/>
      <c r="E59" s="1889"/>
      <c r="F59" s="1889"/>
      <c r="G59" s="1889"/>
      <c r="H59" s="1890"/>
      <c r="I59" s="994">
        <f>I56+I39+I28+I15</f>
        <v>0</v>
      </c>
    </row>
    <row r="60" spans="1:9" ht="16.5" thickTop="1" thickBot="1" x14ac:dyDescent="0.25">
      <c r="A60" s="242"/>
      <c r="B60" s="237"/>
      <c r="C60" s="237"/>
      <c r="D60" s="237"/>
      <c r="E60" s="237"/>
      <c r="F60" s="237"/>
      <c r="G60" s="237"/>
      <c r="H60" s="237" t="s">
        <v>358</v>
      </c>
      <c r="I60" s="995">
        <f>I57+I40+I29+I16</f>
        <v>0</v>
      </c>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3">
    <mergeCell ref="E3:F3"/>
    <mergeCell ref="A7:F7"/>
    <mergeCell ref="A8:F8"/>
    <mergeCell ref="A9:F9"/>
    <mergeCell ref="A10:F10"/>
    <mergeCell ref="A11:F11"/>
    <mergeCell ref="A12:F12"/>
    <mergeCell ref="A13:F13"/>
    <mergeCell ref="A14:F14"/>
    <mergeCell ref="A18:E18"/>
    <mergeCell ref="A19:E19"/>
    <mergeCell ref="A20:E20"/>
    <mergeCell ref="A21:E21"/>
    <mergeCell ref="A22:E22"/>
    <mergeCell ref="A23:E23"/>
    <mergeCell ref="A24:E24"/>
    <mergeCell ref="A25:E25"/>
    <mergeCell ref="A26:E26"/>
    <mergeCell ref="A27:E27"/>
    <mergeCell ref="A31:F31"/>
    <mergeCell ref="A32:F32"/>
    <mergeCell ref="A33:F33"/>
    <mergeCell ref="A34:F34"/>
    <mergeCell ref="A35:F35"/>
    <mergeCell ref="A36:F36"/>
    <mergeCell ref="A37:F37"/>
    <mergeCell ref="A38:F38"/>
    <mergeCell ref="D42:E42"/>
    <mergeCell ref="D43:E43"/>
    <mergeCell ref="D44:E44"/>
    <mergeCell ref="D45:E45"/>
    <mergeCell ref="D46:E46"/>
    <mergeCell ref="D47:E47"/>
    <mergeCell ref="D48:E48"/>
    <mergeCell ref="D49:E49"/>
    <mergeCell ref="D50:E50"/>
    <mergeCell ref="D51:E51"/>
    <mergeCell ref="D52:E52"/>
    <mergeCell ref="A59:H59"/>
    <mergeCell ref="D53:E53"/>
    <mergeCell ref="D54:E54"/>
    <mergeCell ref="D55:E55"/>
    <mergeCell ref="A58:H58"/>
  </mergeCells>
  <phoneticPr fontId="0" type="noConversion"/>
  <pageMargins left="0.57999999999999996" right="0.49" top="1" bottom="1" header="0.5" footer="0.5"/>
  <pageSetup paperSize="9" scale="69" orientation="portrait"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70"/>
  <sheetViews>
    <sheetView topLeftCell="A10" zoomScale="75" zoomScaleNormal="75" zoomScaleSheetLayoutView="90" workbookViewId="0">
      <selection activeCell="E25" sqref="E25"/>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7" max="7" width="9" bestFit="1" customWidth="1"/>
    <col min="8" max="8" width="12.21875" customWidth="1"/>
  </cols>
  <sheetData>
    <row r="1" spans="1:8" ht="18.75" thickTop="1" x14ac:dyDescent="0.2">
      <c r="A1" s="1493" t="s">
        <v>76</v>
      </c>
      <c r="B1" s="223"/>
      <c r="C1" s="223"/>
      <c r="D1" s="223"/>
      <c r="E1" s="223"/>
      <c r="F1" s="223"/>
      <c r="G1" s="223"/>
      <c r="H1" s="224"/>
    </row>
    <row r="2" spans="1:8" ht="15.75" x14ac:dyDescent="0.2">
      <c r="A2" s="257" t="s">
        <v>218</v>
      </c>
      <c r="B2" s="125"/>
      <c r="C2" s="125"/>
      <c r="D2" s="2"/>
      <c r="E2" s="275" t="s">
        <v>225</v>
      </c>
      <c r="F2" s="275"/>
      <c r="G2" s="125"/>
      <c r="H2" s="131"/>
    </row>
    <row r="3" spans="1:8" ht="15.75" x14ac:dyDescent="0.2">
      <c r="A3" s="1911" t="s">
        <v>357</v>
      </c>
      <c r="B3" s="1912"/>
      <c r="C3" s="1481">
        <f>'Input Data'!$D$28</f>
        <v>0</v>
      </c>
      <c r="D3" s="1482"/>
      <c r="E3" s="1127" t="s">
        <v>287</v>
      </c>
      <c r="F3" s="1756">
        <f>'Input Data'!$D$5</f>
        <v>0</v>
      </c>
      <c r="G3" s="1757"/>
      <c r="H3" s="1483"/>
    </row>
    <row r="4" spans="1:8" x14ac:dyDescent="0.2">
      <c r="A4" s="245"/>
      <c r="B4" s="231"/>
      <c r="C4" s="208"/>
      <c r="D4" s="208"/>
      <c r="E4" s="208"/>
      <c r="F4" s="125"/>
      <c r="G4" s="125"/>
      <c r="H4" s="131"/>
    </row>
    <row r="5" spans="1:8" x14ac:dyDescent="0.2">
      <c r="A5" s="251" t="s">
        <v>77</v>
      </c>
      <c r="B5" s="225"/>
      <c r="C5" s="225"/>
      <c r="D5" s="225"/>
      <c r="E5" s="225"/>
      <c r="F5" s="225"/>
      <c r="G5" s="225"/>
      <c r="H5" s="226"/>
    </row>
    <row r="6" spans="1:8" ht="30" x14ac:dyDescent="0.2">
      <c r="A6" s="973" t="s">
        <v>78</v>
      </c>
      <c r="B6" s="974" t="s">
        <v>40</v>
      </c>
      <c r="C6" s="977" t="s">
        <v>26</v>
      </c>
      <c r="D6" s="1012"/>
      <c r="E6" s="974" t="s">
        <v>136</v>
      </c>
      <c r="F6" s="974" t="s">
        <v>79</v>
      </c>
      <c r="G6" s="974" t="s">
        <v>428</v>
      </c>
      <c r="H6" s="975" t="s">
        <v>7</v>
      </c>
    </row>
    <row r="7" spans="1:8" x14ac:dyDescent="0.2">
      <c r="A7" s="315"/>
      <c r="B7" s="278"/>
      <c r="C7" s="284"/>
      <c r="D7" s="285"/>
      <c r="E7" s="278"/>
      <c r="F7" s="278"/>
      <c r="G7" s="281"/>
      <c r="H7" s="913">
        <f>F7*G7</f>
        <v>0</v>
      </c>
    </row>
    <row r="8" spans="1:8" x14ac:dyDescent="0.2">
      <c r="A8" s="254"/>
      <c r="B8" s="249"/>
      <c r="C8" s="255"/>
      <c r="D8" s="248"/>
      <c r="E8" s="249"/>
      <c r="F8" s="249"/>
      <c r="G8" s="256"/>
      <c r="H8" s="914">
        <f t="shared" ref="H8:H16" si="0">F8*G8</f>
        <v>0</v>
      </c>
    </row>
    <row r="9" spans="1:8" x14ac:dyDescent="0.2">
      <c r="A9" s="254"/>
      <c r="B9" s="249"/>
      <c r="C9" s="255"/>
      <c r="D9" s="248"/>
      <c r="E9" s="249"/>
      <c r="F9" s="249"/>
      <c r="G9" s="256"/>
      <c r="H9" s="914">
        <f t="shared" si="0"/>
        <v>0</v>
      </c>
    </row>
    <row r="10" spans="1:8" x14ac:dyDescent="0.2">
      <c r="A10" s="254"/>
      <c r="B10" s="249"/>
      <c r="C10" s="255"/>
      <c r="D10" s="248"/>
      <c r="E10" s="249"/>
      <c r="F10" s="249"/>
      <c r="G10" s="256"/>
      <c r="H10" s="914">
        <f t="shared" si="0"/>
        <v>0</v>
      </c>
    </row>
    <row r="11" spans="1:8" x14ac:dyDescent="0.2">
      <c r="A11" s="254"/>
      <c r="B11" s="249"/>
      <c r="C11" s="255"/>
      <c r="D11" s="248"/>
      <c r="E11" s="249"/>
      <c r="F11" s="249"/>
      <c r="G11" s="256"/>
      <c r="H11" s="914">
        <f t="shared" si="0"/>
        <v>0</v>
      </c>
    </row>
    <row r="12" spans="1:8" x14ac:dyDescent="0.2">
      <c r="A12" s="254"/>
      <c r="B12" s="249"/>
      <c r="C12" s="255"/>
      <c r="D12" s="248"/>
      <c r="E12" s="249"/>
      <c r="F12" s="249"/>
      <c r="G12" s="256"/>
      <c r="H12" s="914">
        <f t="shared" si="0"/>
        <v>0</v>
      </c>
    </row>
    <row r="13" spans="1:8" x14ac:dyDescent="0.2">
      <c r="A13" s="254"/>
      <c r="B13" s="249"/>
      <c r="C13" s="255"/>
      <c r="D13" s="248"/>
      <c r="E13" s="249"/>
      <c r="F13" s="249"/>
      <c r="G13" s="256"/>
      <c r="H13" s="914">
        <f t="shared" si="0"/>
        <v>0</v>
      </c>
    </row>
    <row r="14" spans="1:8" x14ac:dyDescent="0.2">
      <c r="A14" s="254"/>
      <c r="B14" s="249"/>
      <c r="C14" s="255"/>
      <c r="D14" s="248"/>
      <c r="E14" s="249"/>
      <c r="F14" s="249"/>
      <c r="G14" s="256"/>
      <c r="H14" s="914">
        <f t="shared" si="0"/>
        <v>0</v>
      </c>
    </row>
    <row r="15" spans="1:8" x14ac:dyDescent="0.2">
      <c r="A15" s="254"/>
      <c r="B15" s="249"/>
      <c r="C15" s="255"/>
      <c r="D15" s="248"/>
      <c r="E15" s="249"/>
      <c r="F15" s="249"/>
      <c r="G15" s="256"/>
      <c r="H15" s="914">
        <f t="shared" si="0"/>
        <v>0</v>
      </c>
    </row>
    <row r="16" spans="1:8" ht="15.75" thickBot="1" x14ac:dyDescent="0.25">
      <c r="A16" s="333"/>
      <c r="B16" s="334"/>
      <c r="C16" s="335"/>
      <c r="D16" s="336"/>
      <c r="E16" s="334"/>
      <c r="F16" s="334"/>
      <c r="G16" s="337"/>
      <c r="H16" s="915">
        <f t="shared" si="0"/>
        <v>0</v>
      </c>
    </row>
    <row r="17" spans="1:11" ht="15.75" thickBot="1" x14ac:dyDescent="0.25">
      <c r="A17" s="318"/>
      <c r="B17" s="319"/>
      <c r="C17" s="319"/>
      <c r="D17" s="319"/>
      <c r="E17" s="319"/>
      <c r="F17" s="319"/>
      <c r="G17" s="262" t="s">
        <v>80</v>
      </c>
      <c r="H17" s="1013">
        <f>SUM(H7:H16)</f>
        <v>0</v>
      </c>
    </row>
    <row r="18" spans="1:11" ht="15.75" thickTop="1" x14ac:dyDescent="0.2">
      <c r="A18" s="129"/>
      <c r="B18" s="125"/>
      <c r="C18" s="125"/>
      <c r="D18" s="125"/>
      <c r="E18" s="125"/>
      <c r="F18" s="125"/>
      <c r="G18" s="235" t="s">
        <v>358</v>
      </c>
      <c r="H18" s="1014"/>
    </row>
    <row r="19" spans="1:11" x14ac:dyDescent="0.2">
      <c r="A19" s="251" t="s">
        <v>81</v>
      </c>
      <c r="B19" s="229"/>
      <c r="C19" s="229"/>
      <c r="D19" s="229"/>
      <c r="E19" s="229"/>
      <c r="F19" s="229"/>
      <c r="G19" s="229"/>
      <c r="H19" s="990"/>
    </row>
    <row r="20" spans="1:11" ht="45" x14ac:dyDescent="0.2">
      <c r="A20" s="973" t="s">
        <v>4</v>
      </c>
      <c r="B20" s="977" t="s">
        <v>40</v>
      </c>
      <c r="C20" s="1027"/>
      <c r="D20" s="977" t="s">
        <v>26</v>
      </c>
      <c r="E20" s="1012"/>
      <c r="F20" s="974" t="s">
        <v>82</v>
      </c>
      <c r="G20" s="974" t="s">
        <v>643</v>
      </c>
      <c r="H20" s="976" t="s">
        <v>7</v>
      </c>
    </row>
    <row r="21" spans="1:11" x14ac:dyDescent="0.2">
      <c r="A21" s="253"/>
      <c r="B21" s="259"/>
      <c r="C21" s="261"/>
      <c r="D21" s="259"/>
      <c r="E21" s="260"/>
      <c r="F21" s="792"/>
      <c r="G21" s="1007"/>
      <c r="H21" s="1015">
        <f t="shared" ref="H21:H30" si="1">F21*G21</f>
        <v>0</v>
      </c>
    </row>
    <row r="22" spans="1:11" x14ac:dyDescent="0.2">
      <c r="A22" s="254"/>
      <c r="B22" s="255"/>
      <c r="C22" s="247"/>
      <c r="D22" s="255"/>
      <c r="E22" s="248"/>
      <c r="F22" s="256"/>
      <c r="G22" s="1008"/>
      <c r="H22" s="1016">
        <f t="shared" si="1"/>
        <v>0</v>
      </c>
    </row>
    <row r="23" spans="1:11" x14ac:dyDescent="0.2">
      <c r="A23" s="254"/>
      <c r="B23" s="255"/>
      <c r="C23" s="247"/>
      <c r="D23" s="255"/>
      <c r="E23" s="248"/>
      <c r="F23" s="256"/>
      <c r="G23" s="1008"/>
      <c r="H23" s="1016">
        <f t="shared" si="1"/>
        <v>0</v>
      </c>
    </row>
    <row r="24" spans="1:11" x14ac:dyDescent="0.2">
      <c r="A24" s="254"/>
      <c r="B24" s="255"/>
      <c r="C24" s="247"/>
      <c r="D24" s="255"/>
      <c r="E24" s="248"/>
      <c r="F24" s="256"/>
      <c r="G24" s="1008"/>
      <c r="H24" s="1016">
        <f t="shared" si="1"/>
        <v>0</v>
      </c>
    </row>
    <row r="25" spans="1:11" x14ac:dyDescent="0.2">
      <c r="A25" s="254"/>
      <c r="B25" s="255"/>
      <c r="C25" s="247"/>
      <c r="D25" s="255"/>
      <c r="E25" s="248"/>
      <c r="F25" s="256"/>
      <c r="G25" s="1008"/>
      <c r="H25" s="1016">
        <f t="shared" si="1"/>
        <v>0</v>
      </c>
    </row>
    <row r="26" spans="1:11" x14ac:dyDescent="0.2">
      <c r="A26" s="254"/>
      <c r="B26" s="255"/>
      <c r="C26" s="247"/>
      <c r="D26" s="255"/>
      <c r="E26" s="248"/>
      <c r="F26" s="256"/>
      <c r="G26" s="1008"/>
      <c r="H26" s="1016">
        <f t="shared" si="1"/>
        <v>0</v>
      </c>
    </row>
    <row r="27" spans="1:11" x14ac:dyDescent="0.2">
      <c r="A27" s="254"/>
      <c r="B27" s="255"/>
      <c r="C27" s="247"/>
      <c r="D27" s="255"/>
      <c r="E27" s="248"/>
      <c r="F27" s="256"/>
      <c r="G27" s="1008"/>
      <c r="H27" s="1016">
        <f t="shared" si="1"/>
        <v>0</v>
      </c>
      <c r="K27" s="362"/>
    </row>
    <row r="28" spans="1:11" x14ac:dyDescent="0.2">
      <c r="A28" s="254"/>
      <c r="B28" s="255"/>
      <c r="C28" s="247"/>
      <c r="D28" s="255"/>
      <c r="E28" s="248"/>
      <c r="F28" s="256"/>
      <c r="G28" s="1008"/>
      <c r="H28" s="1016">
        <f t="shared" si="1"/>
        <v>0</v>
      </c>
    </row>
    <row r="29" spans="1:11" x14ac:dyDescent="0.2">
      <c r="A29" s="254"/>
      <c r="B29" s="255"/>
      <c r="C29" s="247"/>
      <c r="D29" s="255"/>
      <c r="E29" s="248"/>
      <c r="F29" s="256"/>
      <c r="G29" s="1008"/>
      <c r="H29" s="1016">
        <f t="shared" si="1"/>
        <v>0</v>
      </c>
    </row>
    <row r="30" spans="1:11" ht="15.75" thickBot="1" x14ac:dyDescent="0.25">
      <c r="A30" s="333"/>
      <c r="B30" s="335"/>
      <c r="C30" s="338"/>
      <c r="D30" s="335"/>
      <c r="E30" s="336"/>
      <c r="F30" s="337"/>
      <c r="G30" s="1009"/>
      <c r="H30" s="1017">
        <f t="shared" si="1"/>
        <v>0</v>
      </c>
    </row>
    <row r="31" spans="1:11" ht="15.75" thickBot="1" x14ac:dyDescent="0.25">
      <c r="A31" s="318"/>
      <c r="B31" s="319"/>
      <c r="C31" s="319"/>
      <c r="D31" s="319"/>
      <c r="E31" s="319"/>
      <c r="F31" s="319"/>
      <c r="G31" s="262" t="s">
        <v>83</v>
      </c>
      <c r="H31" s="1013">
        <f>SUM(H21:H30)</f>
        <v>0</v>
      </c>
    </row>
    <row r="32" spans="1:11" ht="15.75" thickTop="1" x14ac:dyDescent="0.2">
      <c r="A32" s="230"/>
      <c r="B32" s="235"/>
      <c r="C32" s="235"/>
      <c r="D32" s="235"/>
      <c r="E32" s="235"/>
      <c r="F32" s="235"/>
      <c r="G32" s="235" t="s">
        <v>358</v>
      </c>
      <c r="H32" s="1014"/>
    </row>
    <row r="33" spans="1:8" x14ac:dyDescent="0.2">
      <c r="A33" s="251" t="s">
        <v>84</v>
      </c>
      <c r="B33" s="225"/>
      <c r="C33" s="225"/>
      <c r="D33" s="225"/>
      <c r="E33" s="225"/>
      <c r="F33" s="225"/>
      <c r="G33" s="225"/>
      <c r="H33" s="991"/>
    </row>
    <row r="34" spans="1:8" ht="45" x14ac:dyDescent="0.2">
      <c r="A34" s="973" t="s">
        <v>4</v>
      </c>
      <c r="B34" s="909" t="s">
        <v>40</v>
      </c>
      <c r="C34" s="1012"/>
      <c r="D34" s="974" t="s">
        <v>85</v>
      </c>
      <c r="E34" s="974" t="s">
        <v>86</v>
      </c>
      <c r="F34" s="974" t="s">
        <v>87</v>
      </c>
      <c r="G34" s="974" t="s">
        <v>429</v>
      </c>
      <c r="H34" s="976" t="s">
        <v>7</v>
      </c>
    </row>
    <row r="35" spans="1:8" x14ac:dyDescent="0.2">
      <c r="A35" s="332"/>
      <c r="B35" s="286"/>
      <c r="C35" s="287"/>
      <c r="D35" s="353"/>
      <c r="E35" s="353"/>
      <c r="F35" s="277"/>
      <c r="G35" s="999"/>
      <c r="H35" s="1018">
        <f>G35*E35</f>
        <v>0</v>
      </c>
    </row>
    <row r="36" spans="1:8" x14ac:dyDescent="0.2">
      <c r="A36" s="254"/>
      <c r="B36" s="255"/>
      <c r="C36" s="248"/>
      <c r="D36" s="351"/>
      <c r="E36" s="351"/>
      <c r="F36" s="249"/>
      <c r="G36" s="1000"/>
      <c r="H36" s="1019">
        <f t="shared" ref="H36:H41" si="2">G36*E36</f>
        <v>0</v>
      </c>
    </row>
    <row r="37" spans="1:8" x14ac:dyDescent="0.2">
      <c r="A37" s="254"/>
      <c r="B37" s="255"/>
      <c r="C37" s="248"/>
      <c r="D37" s="351"/>
      <c r="E37" s="351"/>
      <c r="F37" s="249"/>
      <c r="G37" s="1000"/>
      <c r="H37" s="1019">
        <f t="shared" si="2"/>
        <v>0</v>
      </c>
    </row>
    <row r="38" spans="1:8" x14ac:dyDescent="0.2">
      <c r="A38" s="254"/>
      <c r="B38" s="255"/>
      <c r="C38" s="248"/>
      <c r="D38" s="351"/>
      <c r="E38" s="351"/>
      <c r="F38" s="249"/>
      <c r="G38" s="1000"/>
      <c r="H38" s="1019">
        <f t="shared" si="2"/>
        <v>0</v>
      </c>
    </row>
    <row r="39" spans="1:8" x14ac:dyDescent="0.2">
      <c r="A39" s="254"/>
      <c r="B39" s="255"/>
      <c r="C39" s="248"/>
      <c r="D39" s="351"/>
      <c r="E39" s="351"/>
      <c r="F39" s="249"/>
      <c r="G39" s="1000"/>
      <c r="H39" s="1019">
        <f t="shared" si="2"/>
        <v>0</v>
      </c>
    </row>
    <row r="40" spans="1:8" x14ac:dyDescent="0.2">
      <c r="A40" s="254"/>
      <c r="B40" s="255"/>
      <c r="C40" s="248"/>
      <c r="D40" s="351"/>
      <c r="E40" s="351"/>
      <c r="F40" s="249"/>
      <c r="G40" s="1000"/>
      <c r="H40" s="1019">
        <f t="shared" si="2"/>
        <v>0</v>
      </c>
    </row>
    <row r="41" spans="1:8" x14ac:dyDescent="0.2">
      <c r="A41" s="254"/>
      <c r="B41" s="255"/>
      <c r="C41" s="248"/>
      <c r="D41" s="351"/>
      <c r="E41" s="351"/>
      <c r="F41" s="249"/>
      <c r="G41" s="1000"/>
      <c r="H41" s="1019">
        <f t="shared" si="2"/>
        <v>0</v>
      </c>
    </row>
    <row r="42" spans="1:8" x14ac:dyDescent="0.2">
      <c r="A42" s="254"/>
      <c r="B42" s="255"/>
      <c r="C42" s="248"/>
      <c r="D42" s="351"/>
      <c r="E42" s="351"/>
      <c r="F42" s="249"/>
      <c r="G42" s="1000"/>
      <c r="H42" s="1019">
        <f>G42*E42</f>
        <v>0</v>
      </c>
    </row>
    <row r="43" spans="1:8" x14ac:dyDescent="0.2">
      <c r="A43" s="254"/>
      <c r="B43" s="255"/>
      <c r="C43" s="248"/>
      <c r="D43" s="351"/>
      <c r="E43" s="351"/>
      <c r="F43" s="249"/>
      <c r="G43" s="1000"/>
      <c r="H43" s="1019">
        <f>G43*E43</f>
        <v>0</v>
      </c>
    </row>
    <row r="44" spans="1:8" ht="15.75" thickBot="1" x14ac:dyDescent="0.25">
      <c r="A44" s="316"/>
      <c r="B44" s="322"/>
      <c r="C44" s="324"/>
      <c r="D44" s="352"/>
      <c r="E44" s="352"/>
      <c r="F44" s="317"/>
      <c r="G44" s="1001"/>
      <c r="H44" s="1020">
        <f>G44*E44</f>
        <v>0</v>
      </c>
    </row>
    <row r="45" spans="1:8" ht="15.75" thickBot="1" x14ac:dyDescent="0.25">
      <c r="A45" s="318"/>
      <c r="B45" s="319"/>
      <c r="C45" s="319"/>
      <c r="D45" s="319"/>
      <c r="E45" s="319"/>
      <c r="F45" s="319"/>
      <c r="G45" s="966" t="s">
        <v>226</v>
      </c>
      <c r="H45" s="1021">
        <f>SUM(H35:H44)</f>
        <v>0</v>
      </c>
    </row>
    <row r="46" spans="1:8" ht="15.75" thickTop="1" x14ac:dyDescent="0.2">
      <c r="A46" s="129"/>
      <c r="B46" s="125"/>
      <c r="C46" s="125"/>
      <c r="D46" s="125"/>
      <c r="E46" s="125"/>
      <c r="F46" s="125"/>
      <c r="G46" s="931" t="s">
        <v>358</v>
      </c>
      <c r="H46" s="1014"/>
    </row>
    <row r="47" spans="1:8" x14ac:dyDescent="0.2">
      <c r="A47" s="251" t="s">
        <v>88</v>
      </c>
      <c r="B47" s="225"/>
      <c r="C47" s="225"/>
      <c r="D47" s="225"/>
      <c r="E47" s="225"/>
      <c r="F47" s="225"/>
      <c r="G47" s="1002"/>
      <c r="H47" s="991"/>
    </row>
    <row r="48" spans="1:8" ht="45" x14ac:dyDescent="0.2">
      <c r="A48" s="978" t="s">
        <v>4</v>
      </c>
      <c r="B48" s="909" t="s">
        <v>33</v>
      </c>
      <c r="C48" s="1028"/>
      <c r="D48" s="974" t="s">
        <v>89</v>
      </c>
      <c r="E48" s="974" t="s">
        <v>90</v>
      </c>
      <c r="F48" s="974" t="s">
        <v>91</v>
      </c>
      <c r="G48" s="1029" t="s">
        <v>430</v>
      </c>
      <c r="H48" s="976" t="s">
        <v>43</v>
      </c>
    </row>
    <row r="49" spans="1:8" x14ac:dyDescent="0.2">
      <c r="A49" s="253"/>
      <c r="B49" s="259"/>
      <c r="C49" s="263"/>
      <c r="D49" s="250"/>
      <c r="E49" s="250"/>
      <c r="F49" s="250"/>
      <c r="G49" s="1010"/>
      <c r="H49" s="1022">
        <f>G49*F49</f>
        <v>0</v>
      </c>
    </row>
    <row r="50" spans="1:8" x14ac:dyDescent="0.2">
      <c r="A50" s="254"/>
      <c r="B50" s="255"/>
      <c r="C50" s="264"/>
      <c r="D50" s="255"/>
      <c r="E50" s="249"/>
      <c r="F50" s="249"/>
      <c r="G50" s="1000"/>
      <c r="H50" s="1019"/>
    </row>
    <row r="51" spans="1:8" x14ac:dyDescent="0.2">
      <c r="A51" s="254"/>
      <c r="B51" s="255"/>
      <c r="C51" s="264"/>
      <c r="D51" s="255"/>
      <c r="E51" s="249"/>
      <c r="F51" s="249"/>
      <c r="G51" s="1000"/>
      <c r="H51" s="1019"/>
    </row>
    <row r="52" spans="1:8" x14ac:dyDescent="0.2">
      <c r="A52" s="254"/>
      <c r="B52" s="255"/>
      <c r="C52" s="264"/>
      <c r="D52" s="255"/>
      <c r="E52" s="249"/>
      <c r="F52" s="249"/>
      <c r="G52" s="1000"/>
      <c r="H52" s="1019"/>
    </row>
    <row r="53" spans="1:8" x14ac:dyDescent="0.2">
      <c r="A53" s="254"/>
      <c r="B53" s="255"/>
      <c r="C53" s="264"/>
      <c r="D53" s="255"/>
      <c r="E53" s="249"/>
      <c r="F53" s="249"/>
      <c r="G53" s="1000"/>
      <c r="H53" s="1019"/>
    </row>
    <row r="54" spans="1:8" x14ac:dyDescent="0.2">
      <c r="A54" s="254"/>
      <c r="B54" s="255"/>
      <c r="C54" s="264"/>
      <c r="D54" s="255"/>
      <c r="E54" s="249"/>
      <c r="F54" s="249"/>
      <c r="G54" s="1000"/>
      <c r="H54" s="1019"/>
    </row>
    <row r="55" spans="1:8" ht="15.75" thickBot="1" x14ac:dyDescent="0.25">
      <c r="A55" s="333"/>
      <c r="B55" s="335"/>
      <c r="C55" s="339"/>
      <c r="D55" s="335"/>
      <c r="E55" s="317"/>
      <c r="F55" s="334"/>
      <c r="G55" s="1011"/>
      <c r="H55" s="1023"/>
    </row>
    <row r="56" spans="1:8" ht="15.75" thickBot="1" x14ac:dyDescent="0.25">
      <c r="A56" s="318"/>
      <c r="B56" s="319"/>
      <c r="C56" s="319"/>
      <c r="D56" s="319"/>
      <c r="E56" s="340"/>
      <c r="F56" s="319"/>
      <c r="G56" s="262" t="s">
        <v>92</v>
      </c>
      <c r="H56" s="1013">
        <f>SUM(H49:H55)</f>
        <v>0</v>
      </c>
    </row>
    <row r="57" spans="1:8" ht="16.5" thickTop="1" thickBot="1" x14ac:dyDescent="0.25">
      <c r="A57" s="230"/>
      <c r="B57" s="235"/>
      <c r="C57" s="235"/>
      <c r="D57" s="235"/>
      <c r="E57" s="268"/>
      <c r="F57" s="235"/>
      <c r="G57" s="235" t="s">
        <v>358</v>
      </c>
      <c r="H57" s="1014"/>
    </row>
    <row r="58" spans="1:8" x14ac:dyDescent="0.2">
      <c r="A58" s="500"/>
      <c r="B58" s="501"/>
      <c r="C58" s="501"/>
      <c r="D58" s="501"/>
      <c r="E58" s="501"/>
      <c r="F58" s="501"/>
      <c r="G58" s="502" t="s">
        <v>291</v>
      </c>
      <c r="H58" s="924">
        <f>H17+IF(AND(H31&gt;0,H17&gt;0),0,H31)+H45+H56</f>
        <v>0</v>
      </c>
    </row>
    <row r="59" spans="1:8" ht="15.75" thickBot="1" x14ac:dyDescent="0.25">
      <c r="A59" s="242"/>
      <c r="B59" s="237"/>
      <c r="C59" s="237"/>
      <c r="D59" s="237"/>
      <c r="E59" s="237"/>
      <c r="F59" s="237"/>
      <c r="G59" s="243" t="s">
        <v>358</v>
      </c>
      <c r="H59" s="1024">
        <f>H18+IF(AND(H32&gt;0,H18&gt;0),0,H32)+H46+H57</f>
        <v>0</v>
      </c>
    </row>
    <row r="60" spans="1:8" ht="15.75" thickTop="1" x14ac:dyDescent="0.2">
      <c r="A60" s="265" t="str">
        <f>IF(AND(H31&gt;0,H17&gt;0),"You cannot claim for both Part Time and Full Time supervision","")</f>
        <v/>
      </c>
      <c r="B60" s="239"/>
      <c r="C60" s="239"/>
      <c r="D60" s="239"/>
      <c r="E60" s="239"/>
      <c r="F60" s="239"/>
      <c r="G60" s="241" t="s">
        <v>223</v>
      </c>
      <c r="H60" s="1025">
        <f>H58/1.14</f>
        <v>0</v>
      </c>
    </row>
    <row r="61" spans="1:8" ht="15.75" thickBot="1" x14ac:dyDescent="0.25">
      <c r="A61" s="242"/>
      <c r="B61" s="237"/>
      <c r="C61" s="237"/>
      <c r="D61" s="237"/>
      <c r="E61" s="237"/>
      <c r="F61" s="237"/>
      <c r="G61" s="237" t="s">
        <v>358</v>
      </c>
      <c r="H61" s="1026">
        <f>H59/1.14</f>
        <v>0</v>
      </c>
    </row>
    <row r="62" spans="1:8" ht="15.75" thickTop="1" x14ac:dyDescent="0.2">
      <c r="H62" s="222"/>
    </row>
    <row r="63" spans="1:8" x14ac:dyDescent="0.2">
      <c r="H63" s="222"/>
    </row>
    <row r="64" spans="1:8" x14ac:dyDescent="0.2">
      <c r="H64" s="222"/>
    </row>
    <row r="65" spans="8:8" x14ac:dyDescent="0.2">
      <c r="H65" s="222"/>
    </row>
    <row r="66" spans="8:8" x14ac:dyDescent="0.2">
      <c r="H66" s="222"/>
    </row>
    <row r="67" spans="8:8" x14ac:dyDescent="0.2">
      <c r="H67" s="222"/>
    </row>
    <row r="68" spans="8:8" x14ac:dyDescent="0.2">
      <c r="H68" s="222"/>
    </row>
    <row r="69" spans="8:8" x14ac:dyDescent="0.2">
      <c r="H69" s="222"/>
    </row>
    <row r="70" spans="8:8" x14ac:dyDescent="0.2">
      <c r="H70" s="222"/>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F3:G3"/>
  </mergeCells>
  <phoneticPr fontId="0" type="noConversion"/>
  <pageMargins left="0.94488188976377963" right="0.55118110236220474" top="0.98425196850393704" bottom="0.98425196850393704" header="0.51181102362204722" footer="0.51181102362204722"/>
  <pageSetup paperSize="9" scale="67" orientation="portrait" horizontalDpi="4294967293" verticalDpi="200" r:id="rId2"/>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100" zoomScaleSheetLayoutView="75" workbookViewId="0"/>
  </sheetViews>
  <sheetFormatPr defaultRowHeight="15" x14ac:dyDescent="0.2"/>
  <cols>
    <col min="1" max="1" width="11.33203125" customWidth="1"/>
    <col min="2" max="2" width="15" customWidth="1"/>
    <col min="5" max="5" width="10" customWidth="1"/>
    <col min="9" max="9" width="10.77734375" customWidth="1"/>
  </cols>
  <sheetData>
    <row r="1" spans="1:9" ht="18.75" thickTop="1" x14ac:dyDescent="0.2">
      <c r="A1" s="1493" t="s">
        <v>95</v>
      </c>
      <c r="B1" s="223"/>
      <c r="C1" s="223"/>
      <c r="D1" s="223"/>
      <c r="E1" s="223"/>
      <c r="F1" s="223"/>
      <c r="G1" s="223"/>
      <c r="H1" s="223"/>
      <c r="I1" s="224"/>
    </row>
    <row r="2" spans="1:9" ht="15.75" x14ac:dyDescent="0.2">
      <c r="A2" s="257" t="s">
        <v>218</v>
      </c>
      <c r="B2" s="125"/>
      <c r="C2" s="125"/>
      <c r="D2" s="125"/>
      <c r="E2" s="125"/>
      <c r="F2" s="125"/>
      <c r="G2" s="125"/>
      <c r="H2" s="125"/>
      <c r="I2" s="131"/>
    </row>
    <row r="3" spans="1:9" ht="15.75" x14ac:dyDescent="0.2">
      <c r="A3" s="1754" t="s">
        <v>357</v>
      </c>
      <c r="B3" s="1762"/>
      <c r="C3" s="1480">
        <f>'Input Data'!$D$28</f>
        <v>0</v>
      </c>
      <c r="D3" s="125"/>
      <c r="E3" s="125"/>
      <c r="F3" s="267" t="s">
        <v>287</v>
      </c>
      <c r="G3" s="1756">
        <f>'Input Data'!$D$5</f>
        <v>0</v>
      </c>
      <c r="H3" s="1757"/>
      <c r="I3" s="131"/>
    </row>
    <row r="4" spans="1:9" ht="15.75" thickBot="1" x14ac:dyDescent="0.25">
      <c r="A4" s="201"/>
      <c r="B4" s="140"/>
      <c r="C4" s="140"/>
      <c r="D4" s="140"/>
      <c r="E4" s="140"/>
      <c r="F4" s="140"/>
      <c r="G4" s="140"/>
      <c r="H4" s="140"/>
      <c r="I4" s="202"/>
    </row>
    <row r="5" spans="1:9" ht="15.75" thickTop="1" x14ac:dyDescent="0.2">
      <c r="A5" s="129"/>
      <c r="B5" s="125"/>
      <c r="C5" s="125"/>
      <c r="D5" s="125"/>
      <c r="E5" s="125"/>
      <c r="F5" s="125"/>
      <c r="G5" s="125"/>
      <c r="H5" s="125"/>
      <c r="I5" s="131"/>
    </row>
    <row r="6" spans="1:9" x14ac:dyDescent="0.2">
      <c r="A6" s="236" t="s">
        <v>96</v>
      </c>
      <c r="B6" s="225"/>
      <c r="C6" s="225"/>
      <c r="D6" s="225"/>
      <c r="E6" s="225"/>
      <c r="F6" s="225"/>
      <c r="G6" s="225"/>
      <c r="H6" s="225"/>
      <c r="I6" s="226"/>
    </row>
    <row r="7" spans="1:9" ht="30" x14ac:dyDescent="0.2">
      <c r="A7" s="227" t="s">
        <v>4</v>
      </c>
      <c r="B7" s="1916" t="s">
        <v>97</v>
      </c>
      <c r="C7" s="1917"/>
      <c r="D7" s="1918"/>
      <c r="E7" s="228" t="s">
        <v>98</v>
      </c>
      <c r="F7" s="1916" t="s">
        <v>33</v>
      </c>
      <c r="G7" s="1917"/>
      <c r="H7" s="1918"/>
      <c r="I7" s="234" t="s">
        <v>43</v>
      </c>
    </row>
    <row r="8" spans="1:9" x14ac:dyDescent="0.2">
      <c r="A8" s="269"/>
      <c r="B8" s="1919"/>
      <c r="C8" s="1920"/>
      <c r="D8" s="1921"/>
      <c r="E8" s="270"/>
      <c r="F8" s="1919"/>
      <c r="G8" s="1920"/>
      <c r="H8" s="1921"/>
      <c r="I8" s="1030"/>
    </row>
    <row r="9" spans="1:9" x14ac:dyDescent="0.2">
      <c r="A9" s="254"/>
      <c r="B9" s="1886"/>
      <c r="C9" s="1896"/>
      <c r="D9" s="1887"/>
      <c r="E9" s="249"/>
      <c r="F9" s="1886"/>
      <c r="G9" s="1896"/>
      <c r="H9" s="1887"/>
      <c r="I9" s="959"/>
    </row>
    <row r="10" spans="1:9" x14ac:dyDescent="0.2">
      <c r="A10" s="254"/>
      <c r="B10" s="1886"/>
      <c r="C10" s="1896"/>
      <c r="D10" s="1887"/>
      <c r="E10" s="249"/>
      <c r="F10" s="1886"/>
      <c r="G10" s="1896"/>
      <c r="H10" s="1887"/>
      <c r="I10" s="959"/>
    </row>
    <row r="11" spans="1:9" x14ac:dyDescent="0.2">
      <c r="A11" s="254"/>
      <c r="B11" s="1886"/>
      <c r="C11" s="1896"/>
      <c r="D11" s="1887"/>
      <c r="E11" s="249"/>
      <c r="F11" s="1886"/>
      <c r="G11" s="1896"/>
      <c r="H11" s="1887"/>
      <c r="I11" s="959"/>
    </row>
    <row r="12" spans="1:9" x14ac:dyDescent="0.2">
      <c r="A12" s="254"/>
      <c r="B12" s="1886"/>
      <c r="C12" s="1896"/>
      <c r="D12" s="1887"/>
      <c r="E12" s="249"/>
      <c r="F12" s="1886"/>
      <c r="G12" s="1896"/>
      <c r="H12" s="1887"/>
      <c r="I12" s="959"/>
    </row>
    <row r="13" spans="1:9" x14ac:dyDescent="0.2">
      <c r="A13" s="254"/>
      <c r="B13" s="1886"/>
      <c r="C13" s="1896"/>
      <c r="D13" s="1887"/>
      <c r="E13" s="249"/>
      <c r="F13" s="1886"/>
      <c r="G13" s="1896"/>
      <c r="H13" s="1887"/>
      <c r="I13" s="959"/>
    </row>
    <row r="14" spans="1:9" x14ac:dyDescent="0.2">
      <c r="A14" s="254"/>
      <c r="B14" s="1886"/>
      <c r="C14" s="1896"/>
      <c r="D14" s="1887"/>
      <c r="E14" s="249"/>
      <c r="F14" s="1886"/>
      <c r="G14" s="1896"/>
      <c r="H14" s="1887"/>
      <c r="I14" s="959"/>
    </row>
    <row r="15" spans="1:9" x14ac:dyDescent="0.2">
      <c r="A15" s="254"/>
      <c r="B15" s="1886"/>
      <c r="C15" s="1896"/>
      <c r="D15" s="1887"/>
      <c r="E15" s="249"/>
      <c r="F15" s="1886"/>
      <c r="G15" s="1896"/>
      <c r="H15" s="1887"/>
      <c r="I15" s="959"/>
    </row>
    <row r="16" spans="1:9" x14ac:dyDescent="0.2">
      <c r="A16" s="254"/>
      <c r="B16" s="1886"/>
      <c r="C16" s="1896"/>
      <c r="D16" s="1887"/>
      <c r="E16" s="249"/>
      <c r="F16" s="1886"/>
      <c r="G16" s="1896"/>
      <c r="H16" s="1887"/>
      <c r="I16" s="959"/>
    </row>
    <row r="17" spans="1:9" ht="15.75" thickBot="1" x14ac:dyDescent="0.25">
      <c r="A17" s="271"/>
      <c r="B17" s="1913"/>
      <c r="C17" s="1914"/>
      <c r="D17" s="1915"/>
      <c r="E17" s="272"/>
      <c r="F17" s="1913"/>
      <c r="G17" s="1914"/>
      <c r="H17" s="1915"/>
      <c r="I17" s="1031"/>
    </row>
    <row r="18" spans="1:9" x14ac:dyDescent="0.2">
      <c r="A18" s="318"/>
      <c r="B18" s="319"/>
      <c r="C18" s="319"/>
      <c r="D18" s="319"/>
      <c r="E18" s="319"/>
      <c r="F18" s="319"/>
      <c r="G18" s="319"/>
      <c r="H18" s="780" t="s">
        <v>101</v>
      </c>
      <c r="I18" s="952">
        <f>SUM(I8:I17)</f>
        <v>0</v>
      </c>
    </row>
    <row r="19" spans="1:9" ht="15.75" thickBot="1" x14ac:dyDescent="0.25">
      <c r="A19" s="129"/>
      <c r="B19" s="125"/>
      <c r="C19" s="125"/>
      <c r="D19" s="125"/>
      <c r="E19" s="125"/>
      <c r="F19" s="125"/>
      <c r="G19" s="125"/>
      <c r="H19" s="781" t="s">
        <v>424</v>
      </c>
      <c r="I19" s="1032">
        <v>0</v>
      </c>
    </row>
    <row r="20" spans="1:9" ht="16.5" thickTop="1" thickBot="1" x14ac:dyDescent="0.25">
      <c r="A20" s="129"/>
      <c r="B20" s="125"/>
      <c r="C20" s="125"/>
      <c r="D20" s="125"/>
      <c r="E20" s="125"/>
      <c r="F20" s="125"/>
      <c r="G20" s="125"/>
      <c r="H20" s="782" t="s">
        <v>425</v>
      </c>
      <c r="I20" s="1033">
        <f>I18-I19</f>
        <v>0</v>
      </c>
    </row>
    <row r="21" spans="1:9" x14ac:dyDescent="0.2">
      <c r="A21" s="341" t="s">
        <v>102</v>
      </c>
      <c r="B21" s="293"/>
      <c r="C21" s="293"/>
      <c r="D21" s="293"/>
      <c r="E21" s="293"/>
      <c r="F21" s="293"/>
      <c r="G21" s="293"/>
      <c r="H21" s="293"/>
      <c r="I21" s="342"/>
    </row>
    <row r="22" spans="1:9" x14ac:dyDescent="0.2">
      <c r="A22" s="245" t="s">
        <v>103</v>
      </c>
      <c r="B22" s="125" t="s">
        <v>99</v>
      </c>
      <c r="C22" s="125"/>
      <c r="D22" s="231" t="s">
        <v>104</v>
      </c>
      <c r="E22" s="125" t="s">
        <v>100</v>
      </c>
      <c r="F22" s="231"/>
      <c r="G22" s="273" t="s">
        <v>105</v>
      </c>
      <c r="H22" s="125"/>
      <c r="I22" s="158"/>
    </row>
    <row r="23" spans="1:9" x14ac:dyDescent="0.2">
      <c r="A23" s="245" t="s">
        <v>106</v>
      </c>
      <c r="B23" s="125" t="s">
        <v>107</v>
      </c>
      <c r="C23" s="125"/>
      <c r="D23" s="231" t="s">
        <v>108</v>
      </c>
      <c r="E23" s="125" t="s">
        <v>109</v>
      </c>
      <c r="F23" s="231"/>
      <c r="G23" s="231" t="s">
        <v>110</v>
      </c>
      <c r="H23" s="125"/>
      <c r="I23" s="158"/>
    </row>
    <row r="24" spans="1:9" ht="15.75" thickBot="1" x14ac:dyDescent="0.25">
      <c r="A24" s="201"/>
      <c r="B24" s="140"/>
      <c r="C24" s="140"/>
      <c r="D24" s="140"/>
      <c r="E24" s="140"/>
      <c r="F24" s="140"/>
      <c r="G24" s="140"/>
      <c r="H24" s="140"/>
      <c r="I24" s="314"/>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4">
    <mergeCell ref="A3:B3"/>
    <mergeCell ref="B7:D7"/>
    <mergeCell ref="F7:H7"/>
    <mergeCell ref="B8:D8"/>
    <mergeCell ref="F8:H8"/>
    <mergeCell ref="G3:H3"/>
    <mergeCell ref="B9:D9"/>
    <mergeCell ref="F9:H9"/>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0" type="noConversion"/>
  <printOptions horizontalCentered="1"/>
  <pageMargins left="0.74803149606299213" right="0.55118110236220474" top="0.78740157480314965" bottom="0.78740157480314965" header="0.51181102362204722" footer="0.51181102362204722"/>
  <pageSetup paperSize="9" scale="80"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H115"/>
  <sheetViews>
    <sheetView tabSelected="1" zoomScale="70" zoomScaleNormal="70" zoomScaleSheetLayoutView="70" workbookViewId="0">
      <selection activeCell="E6" sqref="E6"/>
    </sheetView>
  </sheetViews>
  <sheetFormatPr defaultRowHeight="15" x14ac:dyDescent="0.2"/>
  <cols>
    <col min="1" max="1" width="18.33203125" customWidth="1"/>
    <col min="2" max="2" width="3.88671875" customWidth="1"/>
    <col min="3" max="3" width="11.5546875" customWidth="1"/>
    <col min="4" max="4" width="27.77734375" customWidth="1"/>
    <col min="5" max="5" width="19.109375" customWidth="1"/>
    <col min="6" max="6" width="21" customWidth="1"/>
    <col min="7" max="7" width="18.6640625" customWidth="1"/>
    <col min="8" max="8" width="16.44140625" customWidth="1"/>
  </cols>
  <sheetData>
    <row r="1" spans="1:8" ht="60.75" customHeight="1" thickTop="1" thickBot="1" x14ac:dyDescent="0.25">
      <c r="A1" s="1541" t="s">
        <v>626</v>
      </c>
      <c r="B1" s="1542"/>
      <c r="C1" s="1542"/>
      <c r="D1" s="1542"/>
      <c r="E1" s="1542"/>
      <c r="F1" s="1542"/>
      <c r="G1" s="1542"/>
      <c r="H1" s="1543"/>
    </row>
    <row r="2" spans="1:8" ht="46.5" customHeight="1" thickTop="1" x14ac:dyDescent="0.2">
      <c r="A2" s="485"/>
      <c r="B2" s="505"/>
      <c r="C2" s="505"/>
      <c r="D2" s="464"/>
      <c r="E2" s="1546" t="str">
        <f>IF(E9="b","USE BUILDING PROJECT INVOICE!!!",CONCATENATE(D8,"  ",""))</f>
        <v xml:space="preserve">CIVIL &amp; STRUCTURAL ENGINEERING  </v>
      </c>
      <c r="F2" s="1547"/>
      <c r="G2" s="1547"/>
      <c r="H2" s="141"/>
    </row>
    <row r="3" spans="1:8" ht="31.5" customHeight="1" thickBot="1" x14ac:dyDescent="0.25">
      <c r="A3" s="201"/>
      <c r="B3" s="142"/>
      <c r="C3" s="142"/>
      <c r="D3" s="142"/>
      <c r="E3" s="1544" t="str">
        <f>IF(E9="b","USE BUILDING PROJECT INVOICE!!!",CONCATENATE(D9,":  ",D20," NDPW FEES"))</f>
        <v>ENGINEERING PROJECT:  2011 NDPW FEES</v>
      </c>
      <c r="F3" s="1545"/>
      <c r="G3" s="1545"/>
      <c r="H3" s="1474" t="s">
        <v>625</v>
      </c>
    </row>
    <row r="4" spans="1:8" ht="18" customHeight="1" thickTop="1" x14ac:dyDescent="0.2">
      <c r="A4" s="590"/>
      <c r="B4" s="558"/>
      <c r="C4" s="559" t="s">
        <v>302</v>
      </c>
      <c r="D4" s="1038"/>
      <c r="E4" s="532"/>
      <c r="F4" s="531" t="s">
        <v>301</v>
      </c>
      <c r="G4" s="1556"/>
      <c r="H4" s="1557"/>
    </row>
    <row r="5" spans="1:8" ht="18" customHeight="1" x14ac:dyDescent="0.2">
      <c r="A5" s="591"/>
      <c r="B5" s="560"/>
      <c r="C5" s="561" t="s">
        <v>303</v>
      </c>
      <c r="D5" s="1039"/>
      <c r="E5" s="533"/>
      <c r="F5" s="523" t="s">
        <v>242</v>
      </c>
      <c r="G5" s="727"/>
      <c r="H5" s="1036"/>
    </row>
    <row r="6" spans="1:8" ht="18" customHeight="1" x14ac:dyDescent="0.2">
      <c r="A6" s="591"/>
      <c r="B6" s="560"/>
      <c r="C6" s="561" t="s">
        <v>322</v>
      </c>
      <c r="D6" s="1040"/>
      <c r="E6" s="533"/>
      <c r="F6" s="176" t="s">
        <v>266</v>
      </c>
      <c r="G6" s="727"/>
      <c r="H6" s="1036"/>
    </row>
    <row r="7" spans="1:8" ht="18" customHeight="1" x14ac:dyDescent="0.2">
      <c r="A7" s="591"/>
      <c r="B7" s="560"/>
      <c r="C7" s="561" t="s">
        <v>241</v>
      </c>
      <c r="D7" s="1041"/>
      <c r="E7" s="533"/>
      <c r="F7" s="24" t="s">
        <v>262</v>
      </c>
      <c r="G7" s="727"/>
      <c r="H7" s="1037"/>
    </row>
    <row r="8" spans="1:8" ht="18" customHeight="1" x14ac:dyDescent="0.2">
      <c r="A8" s="591"/>
      <c r="B8" s="560"/>
      <c r="C8" s="561" t="s">
        <v>313</v>
      </c>
      <c r="D8" s="1532" t="s">
        <v>314</v>
      </c>
      <c r="E8" s="1509"/>
      <c r="F8" s="176" t="s">
        <v>240</v>
      </c>
      <c r="G8" s="1539"/>
      <c r="H8" s="1540"/>
    </row>
    <row r="9" spans="1:8" ht="18" customHeight="1" x14ac:dyDescent="0.2">
      <c r="A9" s="591"/>
      <c r="B9" s="560"/>
      <c r="C9" s="562" t="s">
        <v>122</v>
      </c>
      <c r="D9" s="438" t="s">
        <v>292</v>
      </c>
      <c r="E9" s="437" t="str">
        <f>IF(D9="BUILDING PROJECT","B","E")</f>
        <v>E</v>
      </c>
      <c r="F9" s="125"/>
      <c r="G9" s="125"/>
      <c r="H9" s="131"/>
    </row>
    <row r="10" spans="1:8" ht="18" customHeight="1" x14ac:dyDescent="0.2">
      <c r="A10" s="1034"/>
      <c r="B10" s="1035"/>
      <c r="C10" s="1042" t="s">
        <v>431</v>
      </c>
      <c r="D10" s="1043" t="s">
        <v>453</v>
      </c>
      <c r="E10" s="1044" t="str">
        <f>IF($D$10="Yes", "NO OF DAYS","")</f>
        <v/>
      </c>
      <c r="F10" s="1045">
        <v>1</v>
      </c>
      <c r="G10" s="1046" t="str">
        <f>IF($D$10="Yes", "RATE","")</f>
        <v/>
      </c>
      <c r="H10" s="1047">
        <v>0</v>
      </c>
    </row>
    <row r="11" spans="1:8" ht="18" customHeight="1" thickBot="1" x14ac:dyDescent="0.25">
      <c r="A11" s="592"/>
      <c r="B11" s="568"/>
      <c r="C11" s="565" t="s">
        <v>116</v>
      </c>
      <c r="D11" s="1560"/>
      <c r="E11" s="1561"/>
      <c r="F11" s="1561"/>
      <c r="G11" s="1561"/>
      <c r="H11" s="1562"/>
    </row>
    <row r="12" spans="1:8" ht="18" customHeight="1" thickTop="1" x14ac:dyDescent="0.2">
      <c r="A12" s="593"/>
      <c r="B12" s="566"/>
      <c r="C12" s="567" t="s">
        <v>323</v>
      </c>
      <c r="D12" s="1556"/>
      <c r="E12" s="1558"/>
      <c r="F12" s="1558"/>
      <c r="G12" s="1558"/>
      <c r="H12" s="1559"/>
    </row>
    <row r="13" spans="1:8" ht="18" customHeight="1" x14ac:dyDescent="0.2">
      <c r="A13" s="591"/>
      <c r="B13" s="560"/>
      <c r="C13" s="561" t="s">
        <v>159</v>
      </c>
      <c r="D13" s="1554"/>
      <c r="E13" s="1555"/>
      <c r="F13" s="1555"/>
      <c r="G13" s="611" t="s">
        <v>374</v>
      </c>
      <c r="H13" s="724"/>
    </row>
    <row r="14" spans="1:8" ht="18" customHeight="1" x14ac:dyDescent="0.2">
      <c r="A14" s="591"/>
      <c r="B14" s="560"/>
      <c r="C14" s="561" t="s">
        <v>361</v>
      </c>
      <c r="D14" s="1533"/>
      <c r="E14" s="1534"/>
      <c r="F14" s="1534"/>
      <c r="G14" s="611" t="s">
        <v>374</v>
      </c>
      <c r="H14" s="725"/>
    </row>
    <row r="15" spans="1:8" ht="18" customHeight="1" x14ac:dyDescent="0.2">
      <c r="A15" s="591"/>
      <c r="B15" s="560"/>
      <c r="C15" s="561" t="s">
        <v>160</v>
      </c>
      <c r="D15" s="364"/>
      <c r="E15" s="664" t="s">
        <v>243</v>
      </c>
      <c r="F15" s="519"/>
      <c r="G15" s="612" t="s">
        <v>244</v>
      </c>
      <c r="H15" s="726"/>
    </row>
    <row r="16" spans="1:8" ht="18" customHeight="1" thickBot="1" x14ac:dyDescent="0.25">
      <c r="A16" s="591"/>
      <c r="B16" s="560"/>
      <c r="C16" s="561" t="s">
        <v>240</v>
      </c>
      <c r="D16" s="1537"/>
      <c r="E16" s="1538"/>
      <c r="F16" s="667"/>
      <c r="G16" s="176"/>
      <c r="H16" s="515"/>
    </row>
    <row r="17" spans="1:8" ht="18" customHeight="1" thickTop="1" x14ac:dyDescent="0.2">
      <c r="A17" s="591"/>
      <c r="B17" s="560"/>
      <c r="C17" s="561" t="s">
        <v>112</v>
      </c>
      <c r="D17" s="727"/>
      <c r="E17" s="365">
        <f>IF(D17="none", "none",D17)</f>
        <v>0</v>
      </c>
      <c r="F17" s="586" t="s">
        <v>246</v>
      </c>
      <c r="G17" s="1548" t="s">
        <v>300</v>
      </c>
      <c r="H17" s="1549"/>
    </row>
    <row r="18" spans="1:8" ht="18" customHeight="1" x14ac:dyDescent="0.2">
      <c r="A18" s="591"/>
      <c r="B18" s="560"/>
      <c r="C18" s="561" t="s">
        <v>245</v>
      </c>
      <c r="D18" s="728"/>
      <c r="E18" s="143" t="str">
        <f>IF(D18="","&lt;--ERROR","")</f>
        <v>&lt;--ERROR</v>
      </c>
      <c r="F18" s="516"/>
      <c r="G18" s="1550"/>
      <c r="H18" s="1551"/>
    </row>
    <row r="19" spans="1:8" ht="18" customHeight="1" x14ac:dyDescent="0.2">
      <c r="A19" s="591"/>
      <c r="B19" s="563"/>
      <c r="C19" s="561" t="s">
        <v>29</v>
      </c>
      <c r="D19" s="729"/>
      <c r="E19" s="143"/>
      <c r="F19" s="517"/>
      <c r="G19" s="1552"/>
      <c r="H19" s="1553"/>
    </row>
    <row r="20" spans="1:8" ht="18" customHeight="1" thickBot="1" x14ac:dyDescent="0.25">
      <c r="A20" s="592"/>
      <c r="B20" s="564"/>
      <c r="C20" s="565" t="s">
        <v>161</v>
      </c>
      <c r="D20" s="706">
        <v>2011</v>
      </c>
      <c r="E20" s="705">
        <f>IF(D20=2010,0,IF(D20=2011,1))</f>
        <v>1</v>
      </c>
      <c r="F20" s="577" t="s">
        <v>247</v>
      </c>
      <c r="G20" s="1519"/>
      <c r="H20" s="1520"/>
    </row>
    <row r="21" spans="1:8" ht="18" customHeight="1" thickTop="1" x14ac:dyDescent="0.2">
      <c r="A21" s="1523" t="s">
        <v>417</v>
      </c>
      <c r="B21" s="1524"/>
      <c r="C21" s="1524"/>
      <c r="D21" s="1524"/>
      <c r="E21" s="1525"/>
      <c r="F21" s="577" t="s">
        <v>248</v>
      </c>
      <c r="G21" s="1519"/>
      <c r="H21" s="1520"/>
    </row>
    <row r="22" spans="1:8" ht="18" customHeight="1" x14ac:dyDescent="0.2">
      <c r="A22" s="1526"/>
      <c r="B22" s="1527"/>
      <c r="C22" s="1527"/>
      <c r="D22" s="1527"/>
      <c r="E22" s="1528"/>
      <c r="F22" s="577" t="s">
        <v>249</v>
      </c>
      <c r="G22" s="1517"/>
      <c r="H22" s="1520"/>
    </row>
    <row r="23" spans="1:8" ht="18" customHeight="1" x14ac:dyDescent="0.2">
      <c r="A23" s="1526"/>
      <c r="B23" s="1527"/>
      <c r="C23" s="1527"/>
      <c r="D23" s="1527"/>
      <c r="E23" s="1528"/>
      <c r="F23" s="577" t="s">
        <v>112</v>
      </c>
      <c r="G23" s="1535" t="s">
        <v>433</v>
      </c>
      <c r="H23" s="1536"/>
    </row>
    <row r="24" spans="1:8" ht="27.75" customHeight="1" thickBot="1" x14ac:dyDescent="0.25">
      <c r="A24" s="1529"/>
      <c r="B24" s="1530"/>
      <c r="C24" s="1530"/>
      <c r="D24" s="1530"/>
      <c r="E24" s="1531"/>
      <c r="F24" s="578" t="s">
        <v>362</v>
      </c>
      <c r="G24" s="1519"/>
      <c r="H24" s="1520"/>
    </row>
    <row r="25" spans="1:8" ht="18" customHeight="1" thickTop="1" x14ac:dyDescent="0.2">
      <c r="A25" s="1503" t="s">
        <v>30</v>
      </c>
      <c r="B25" s="1504"/>
      <c r="C25" s="1505"/>
      <c r="D25" s="366" t="str">
        <f>IF(H48&lt;H36,"USE TIME BASED FEES","PERCENTAGE BASED FEES")</f>
        <v>USE TIME BASED FEES</v>
      </c>
      <c r="E25" s="125"/>
      <c r="F25" s="579" t="s">
        <v>250</v>
      </c>
      <c r="G25" s="1519"/>
      <c r="H25" s="1520"/>
    </row>
    <row r="26" spans="1:8" ht="18" customHeight="1" x14ac:dyDescent="0.2">
      <c r="A26" s="594"/>
      <c r="B26" s="575"/>
      <c r="C26" s="576" t="s">
        <v>236</v>
      </c>
      <c r="D26" s="613">
        <v>100</v>
      </c>
      <c r="E26" s="453" t="s">
        <v>324</v>
      </c>
      <c r="F26" s="579" t="s">
        <v>251</v>
      </c>
      <c r="G26" s="1519"/>
      <c r="H26" s="1520"/>
    </row>
    <row r="27" spans="1:8" ht="18" customHeight="1" x14ac:dyDescent="0.2">
      <c r="A27" s="595"/>
      <c r="B27" s="570"/>
      <c r="C27" s="571" t="s">
        <v>139</v>
      </c>
      <c r="D27" s="730"/>
      <c r="E27" s="367"/>
      <c r="F27" s="580" t="s">
        <v>374</v>
      </c>
      <c r="G27" s="1517"/>
      <c r="H27" s="1518"/>
    </row>
    <row r="28" spans="1:8" ht="18" customHeight="1" x14ac:dyDescent="0.2">
      <c r="A28" s="591"/>
      <c r="B28" s="560"/>
      <c r="C28" s="561" t="s">
        <v>18</v>
      </c>
      <c r="D28" s="723"/>
      <c r="E28" s="367"/>
      <c r="F28" s="581" t="s">
        <v>242</v>
      </c>
      <c r="G28" s="1519"/>
      <c r="H28" s="1520"/>
    </row>
    <row r="29" spans="1:8" ht="18" customHeight="1" x14ac:dyDescent="0.2">
      <c r="A29" s="591"/>
      <c r="B29" s="560"/>
      <c r="C29" s="561" t="s">
        <v>117</v>
      </c>
      <c r="D29" s="727"/>
      <c r="E29" s="367"/>
      <c r="F29" s="582" t="s">
        <v>252</v>
      </c>
      <c r="G29" s="1519"/>
      <c r="H29" s="1520"/>
    </row>
    <row r="30" spans="1:8" ht="18" customHeight="1" thickBot="1" x14ac:dyDescent="0.25">
      <c r="A30" s="591"/>
      <c r="B30" s="560"/>
      <c r="C30" s="561" t="s">
        <v>253</v>
      </c>
      <c r="D30" s="727"/>
      <c r="E30" s="528"/>
      <c r="F30" s="583" t="s">
        <v>254</v>
      </c>
      <c r="G30" s="1521"/>
      <c r="H30" s="1522"/>
    </row>
    <row r="31" spans="1:8" ht="18" customHeight="1" thickTop="1" x14ac:dyDescent="0.2">
      <c r="A31" s="591"/>
      <c r="B31" s="572"/>
      <c r="C31" s="561" t="str">
        <f>IF(F31=1,"STAGE COMPLETED",IF(F31=6,"STAGE COMPLETED","STAGE"))</f>
        <v>STAGE COMPLETED</v>
      </c>
      <c r="D31" s="1508" t="s">
        <v>640</v>
      </c>
      <c r="E31" s="1509"/>
      <c r="F31" s="722">
        <f>IF(D31="INCEPTION",1,IF(D31="PRELIMINARY DESIGN: CONCEPT &amp; VIABILITY",2,IF(D31="DETAIL DESIGN",3,IF(D31="DOCUMENTATION &amp; PROCUREMENT",4,IF(D31="CONTRACT ADMINISTRATION &amp; INSPECTION",5,IF(D31="CLOSE OUT",6))))))</f>
        <v>1</v>
      </c>
      <c r="G31" s="21"/>
      <c r="H31" s="534"/>
    </row>
    <row r="32" spans="1:8" ht="18" customHeight="1" x14ac:dyDescent="0.2">
      <c r="A32" s="1034"/>
      <c r="B32" s="1048"/>
      <c r="C32" s="1051" t="s">
        <v>434</v>
      </c>
      <c r="D32" s="1052">
        <v>1</v>
      </c>
      <c r="E32" s="1049"/>
      <c r="F32" s="1050"/>
      <c r="G32" s="21"/>
      <c r="H32" s="534"/>
    </row>
    <row r="33" spans="1:8" ht="18" customHeight="1" thickBot="1" x14ac:dyDescent="0.25">
      <c r="A33" s="596"/>
      <c r="B33" s="573"/>
      <c r="C33" s="574" t="s">
        <v>181</v>
      </c>
      <c r="D33" s="419" t="s">
        <v>321</v>
      </c>
      <c r="E33" s="24"/>
      <c r="F33" s="24"/>
      <c r="G33" s="21"/>
      <c r="H33" s="1124"/>
    </row>
    <row r="34" spans="1:8" ht="18" customHeight="1" x14ac:dyDescent="0.2">
      <c r="A34" s="597"/>
      <c r="B34" s="587"/>
      <c r="C34" s="587"/>
      <c r="D34" s="588" t="s">
        <v>28</v>
      </c>
      <c r="E34" s="776" t="s">
        <v>321</v>
      </c>
      <c r="F34" s="21"/>
      <c r="G34" s="20"/>
      <c r="H34" s="536"/>
    </row>
    <row r="35" spans="1:8" ht="18" customHeight="1" x14ac:dyDescent="0.2">
      <c r="A35" s="591"/>
      <c r="B35" s="560"/>
      <c r="C35" s="560"/>
      <c r="D35" s="561" t="s">
        <v>377</v>
      </c>
      <c r="E35" s="776" t="s">
        <v>321</v>
      </c>
      <c r="F35" s="21"/>
      <c r="G35" s="20"/>
      <c r="H35" s="536"/>
    </row>
    <row r="36" spans="1:8" ht="18" customHeight="1" thickBot="1" x14ac:dyDescent="0.25">
      <c r="A36" s="592"/>
      <c r="B36" s="568"/>
      <c r="C36" s="568"/>
      <c r="D36" s="565" t="s">
        <v>162</v>
      </c>
      <c r="E36" s="777" t="s">
        <v>321</v>
      </c>
      <c r="F36" s="21"/>
      <c r="G36" s="26"/>
      <c r="H36" s="1125">
        <f>Scales!C3</f>
        <v>490000</v>
      </c>
    </row>
    <row r="37" spans="1:8" ht="67.5" customHeight="1" thickTop="1" thickBot="1" x14ac:dyDescent="0.25">
      <c r="A37" s="1510" t="s">
        <v>397</v>
      </c>
      <c r="B37" s="1511"/>
      <c r="C37" s="1511"/>
      <c r="D37" s="1512"/>
      <c r="E37" s="775" t="s">
        <v>308</v>
      </c>
      <c r="F37" s="1506" t="s">
        <v>309</v>
      </c>
      <c r="G37" s="1513" t="s">
        <v>310</v>
      </c>
      <c r="H37" s="1515" t="s">
        <v>148</v>
      </c>
    </row>
    <row r="38" spans="1:8" ht="22.5" customHeight="1" thickBot="1" x14ac:dyDescent="0.25">
      <c r="A38" s="529" t="s">
        <v>197</v>
      </c>
      <c r="B38" s="522"/>
      <c r="C38" s="522"/>
      <c r="D38" s="164" t="s">
        <v>418</v>
      </c>
      <c r="E38" s="633">
        <f>IF($F$31&lt;4,1,IF($D$38="TENDER VALUES",2,1))</f>
        <v>1</v>
      </c>
      <c r="F38" s="1507"/>
      <c r="G38" s="1514"/>
      <c r="H38" s="1516"/>
    </row>
    <row r="39" spans="1:8" ht="30" customHeight="1" thickTop="1" x14ac:dyDescent="0.2">
      <c r="A39" s="1497" t="s">
        <v>183</v>
      </c>
      <c r="B39" s="1498"/>
      <c r="C39" s="1498"/>
      <c r="D39" s="1499"/>
      <c r="E39" s="1072"/>
      <c r="F39" s="1072"/>
      <c r="G39" s="1072"/>
      <c r="H39" s="803">
        <f t="shared" ref="H39:H47" si="0">IF($E$9="e",IF($F$31&lt;5,E39,IF($F$31=5,F39,IF($F$31=6,G39))))</f>
        <v>0</v>
      </c>
    </row>
    <row r="40" spans="1:8" ht="30" customHeight="1" x14ac:dyDescent="0.2">
      <c r="A40" s="1500" t="s">
        <v>184</v>
      </c>
      <c r="B40" s="1501"/>
      <c r="C40" s="1501"/>
      <c r="D40" s="1502"/>
      <c r="E40" s="1073"/>
      <c r="F40" s="1073"/>
      <c r="G40" s="1073"/>
      <c r="H40" s="804">
        <f t="shared" si="0"/>
        <v>0</v>
      </c>
    </row>
    <row r="41" spans="1:8" ht="32.25" customHeight="1" x14ac:dyDescent="0.2">
      <c r="A41" s="1500" t="s">
        <v>185</v>
      </c>
      <c r="B41" s="1586"/>
      <c r="C41" s="1586"/>
      <c r="D41" s="1587"/>
      <c r="E41" s="1073"/>
      <c r="F41" s="1073"/>
      <c r="G41" s="1073"/>
      <c r="H41" s="804">
        <f t="shared" si="0"/>
        <v>0</v>
      </c>
    </row>
    <row r="42" spans="1:8" ht="41.25" customHeight="1" x14ac:dyDescent="0.2">
      <c r="A42" s="1500" t="s">
        <v>186</v>
      </c>
      <c r="B42" s="1501"/>
      <c r="C42" s="1501"/>
      <c r="D42" s="1502"/>
      <c r="E42" s="1073"/>
      <c r="F42" s="1073"/>
      <c r="G42" s="1073"/>
      <c r="H42" s="804">
        <f t="shared" si="0"/>
        <v>0</v>
      </c>
    </row>
    <row r="43" spans="1:8" ht="42.75" customHeight="1" x14ac:dyDescent="0.2">
      <c r="A43" s="1500" t="s">
        <v>187</v>
      </c>
      <c r="B43" s="1586"/>
      <c r="C43" s="1586"/>
      <c r="D43" s="1587"/>
      <c r="E43" s="1073"/>
      <c r="F43" s="1073"/>
      <c r="G43" s="1073"/>
      <c r="H43" s="804">
        <f t="shared" si="0"/>
        <v>0</v>
      </c>
    </row>
    <row r="44" spans="1:8" ht="47.25" customHeight="1" x14ac:dyDescent="0.2">
      <c r="A44" s="1500" t="s">
        <v>188</v>
      </c>
      <c r="B44" s="1586"/>
      <c r="C44" s="1586"/>
      <c r="D44" s="1587"/>
      <c r="E44" s="1073"/>
      <c r="F44" s="1073"/>
      <c r="G44" s="1073"/>
      <c r="H44" s="804">
        <f t="shared" si="0"/>
        <v>0</v>
      </c>
    </row>
    <row r="45" spans="1:8" ht="30" customHeight="1" x14ac:dyDescent="0.2">
      <c r="A45" s="1500" t="s">
        <v>189</v>
      </c>
      <c r="B45" s="1586"/>
      <c r="C45" s="1586"/>
      <c r="D45" s="1587"/>
      <c r="E45" s="1073"/>
      <c r="F45" s="1073"/>
      <c r="G45" s="1073"/>
      <c r="H45" s="804">
        <f t="shared" si="0"/>
        <v>0</v>
      </c>
    </row>
    <row r="46" spans="1:8" ht="41.25" customHeight="1" thickBot="1" x14ac:dyDescent="0.25">
      <c r="A46" s="1497" t="s">
        <v>190</v>
      </c>
      <c r="B46" s="1597"/>
      <c r="C46" s="1597"/>
      <c r="D46" s="1598"/>
      <c r="E46" s="1073"/>
      <c r="F46" s="1073"/>
      <c r="G46" s="1073"/>
      <c r="H46" s="805">
        <f t="shared" si="0"/>
        <v>0</v>
      </c>
    </row>
    <row r="47" spans="1:8" ht="42.75" customHeight="1" thickBot="1" x14ac:dyDescent="0.25">
      <c r="A47" s="1590" t="s">
        <v>199</v>
      </c>
      <c r="B47" s="1591"/>
      <c r="C47" s="1591"/>
      <c r="D47" s="1592"/>
      <c r="E47" s="1111">
        <f>'WTW Input'!E22</f>
        <v>0</v>
      </c>
      <c r="F47" s="1111">
        <f>'WTW Input'!F22</f>
        <v>0</v>
      </c>
      <c r="G47" s="1074">
        <f>'WTW Input'!G22</f>
        <v>0</v>
      </c>
      <c r="H47" s="806">
        <f t="shared" si="0"/>
        <v>0</v>
      </c>
    </row>
    <row r="48" spans="1:8" ht="30" customHeight="1" thickBot="1" x14ac:dyDescent="0.25">
      <c r="A48" s="1572" t="s">
        <v>305</v>
      </c>
      <c r="B48" s="1593"/>
      <c r="C48" s="1593"/>
      <c r="D48" s="1594"/>
      <c r="E48" s="1112">
        <f>SUM(E39:E47)</f>
        <v>0</v>
      </c>
      <c r="F48" s="1112">
        <f>SUM(F39:F47)</f>
        <v>0</v>
      </c>
      <c r="G48" s="1113">
        <f>SUM(G39:G47)</f>
        <v>0</v>
      </c>
      <c r="H48" s="1075">
        <f>IF(H57&gt;SUM(H39:H47),"ERROR",SUM(H39:H47))</f>
        <v>0</v>
      </c>
    </row>
    <row r="49" spans="1:8" ht="30" customHeight="1" thickBot="1" x14ac:dyDescent="0.25">
      <c r="A49" s="1595" t="str">
        <f>IF(F31=6,IF(H48=H57,"","THE VALUE OF ( C) MUST BE THE SAME AS (D)"),"")</f>
        <v/>
      </c>
      <c r="B49" s="1596"/>
      <c r="C49" s="1596"/>
      <c r="D49" s="1596"/>
      <c r="E49" s="1596"/>
      <c r="F49" s="288" t="str">
        <f>IF($F$31=6,IF($H$57=$H$48,"","ERROR"),"")</f>
        <v/>
      </c>
      <c r="G49" s="291" t="str">
        <f>IF($F$31=6,IF($H$59=$H$51,"","ERROR"),"")</f>
        <v/>
      </c>
      <c r="H49" s="537"/>
    </row>
    <row r="50" spans="1:8" ht="41.25" customHeight="1" thickBot="1" x14ac:dyDescent="0.25">
      <c r="A50" s="1599" t="s">
        <v>293</v>
      </c>
      <c r="B50" s="1600"/>
      <c r="C50" s="1600"/>
      <c r="D50" s="1601"/>
      <c r="E50" s="1114"/>
      <c r="F50" s="1114"/>
      <c r="G50" s="1115"/>
      <c r="H50" s="801">
        <f>IF($E$9="e",IF($F$31&lt;5,E50,IF($F$31=5,F50,IF($F$31=6,G50))))</f>
        <v>0</v>
      </c>
    </row>
    <row r="51" spans="1:8" ht="45" customHeight="1" thickBot="1" x14ac:dyDescent="0.25">
      <c r="A51" s="1602" t="s">
        <v>200</v>
      </c>
      <c r="B51" s="1603"/>
      <c r="C51" s="1603"/>
      <c r="D51" s="1604"/>
      <c r="E51" s="1116"/>
      <c r="F51" s="1116"/>
      <c r="G51" s="1076"/>
      <c r="H51" s="802">
        <f>IF($E$9="e",IF($F$31&lt;5,E51,IF($F$31=5,F51,IF($F$31=6,G51))))</f>
        <v>0</v>
      </c>
    </row>
    <row r="52" spans="1:8" ht="30.75" customHeight="1" thickTop="1" thickBot="1" x14ac:dyDescent="0.25">
      <c r="A52" s="1605" t="s">
        <v>400</v>
      </c>
      <c r="B52" s="1606"/>
      <c r="C52" s="1606"/>
      <c r="D52" s="1606"/>
      <c r="E52" s="795"/>
      <c r="F52" s="795"/>
      <c r="G52" s="795"/>
      <c r="H52" s="796"/>
    </row>
    <row r="53" spans="1:8" ht="51.75" customHeight="1" thickTop="1" thickBot="1" x14ac:dyDescent="0.25">
      <c r="A53" s="1588" t="s">
        <v>396</v>
      </c>
      <c r="B53" s="1589"/>
      <c r="C53" s="1589"/>
      <c r="D53" s="1589"/>
      <c r="E53" s="1589"/>
      <c r="F53" s="1589"/>
      <c r="G53" s="589" t="s">
        <v>311</v>
      </c>
      <c r="H53" s="618" t="s">
        <v>148</v>
      </c>
    </row>
    <row r="54" spans="1:8" ht="30" customHeight="1" thickTop="1" x14ac:dyDescent="0.2">
      <c r="A54" s="1565" t="s">
        <v>191</v>
      </c>
      <c r="B54" s="1566"/>
      <c r="C54" s="1566"/>
      <c r="D54" s="1566"/>
      <c r="E54" s="1567"/>
      <c r="F54" s="1568"/>
      <c r="G54" s="1077"/>
      <c r="H54" s="797">
        <f>IF($F$31&gt;4,G54,0)</f>
        <v>0</v>
      </c>
    </row>
    <row r="55" spans="1:8" ht="30" customHeight="1" x14ac:dyDescent="0.2">
      <c r="A55" s="1569" t="s">
        <v>192</v>
      </c>
      <c r="B55" s="1570"/>
      <c r="C55" s="1570"/>
      <c r="D55" s="1570"/>
      <c r="E55" s="1570"/>
      <c r="F55" s="1571"/>
      <c r="G55" s="1078"/>
      <c r="H55" s="798">
        <f>IF($F$31&gt;4,G55,0)</f>
        <v>0</v>
      </c>
    </row>
    <row r="56" spans="1:8" ht="30" customHeight="1" thickBot="1" x14ac:dyDescent="0.25">
      <c r="A56" s="1582" t="s">
        <v>206</v>
      </c>
      <c r="B56" s="1583"/>
      <c r="C56" s="1583"/>
      <c r="D56" s="1583"/>
      <c r="E56" s="1584"/>
      <c r="F56" s="1585"/>
      <c r="G56" s="1079">
        <f>'WTW Input'!H28</f>
        <v>0</v>
      </c>
      <c r="H56" s="799">
        <f>IF($F$31&gt;4,G56,0)</f>
        <v>0</v>
      </c>
    </row>
    <row r="57" spans="1:8" ht="30" customHeight="1" thickBot="1" x14ac:dyDescent="0.25">
      <c r="A57" s="1572" t="s">
        <v>295</v>
      </c>
      <c r="B57" s="1573"/>
      <c r="C57" s="1573"/>
      <c r="D57" s="1573"/>
      <c r="E57" s="1574"/>
      <c r="F57" s="1575"/>
      <c r="G57" s="1080">
        <f>G54+G55+G56</f>
        <v>0</v>
      </c>
      <c r="H57" s="1081">
        <f>H54+H55+H56</f>
        <v>0</v>
      </c>
    </row>
    <row r="58" spans="1:8" ht="36.75" customHeight="1" thickBot="1" x14ac:dyDescent="0.25">
      <c r="A58" s="1579" t="s">
        <v>294</v>
      </c>
      <c r="B58" s="1580"/>
      <c r="C58" s="1580"/>
      <c r="D58" s="1580"/>
      <c r="E58" s="1580"/>
      <c r="F58" s="1581"/>
      <c r="G58" s="1077"/>
      <c r="H58" s="800">
        <f>IF($F$31&gt;4,G58,0)</f>
        <v>0</v>
      </c>
    </row>
    <row r="59" spans="1:8" ht="39.75" customHeight="1" thickBot="1" x14ac:dyDescent="0.25">
      <c r="A59" s="1576" t="s">
        <v>378</v>
      </c>
      <c r="B59" s="1577"/>
      <c r="C59" s="1577"/>
      <c r="D59" s="1577"/>
      <c r="E59" s="1577"/>
      <c r="F59" s="1578"/>
      <c r="G59" s="1082"/>
      <c r="H59" s="1083">
        <f>IF($F$31&gt;4,G59,0)</f>
        <v>0</v>
      </c>
    </row>
    <row r="60" spans="1:8" ht="15.75" thickTop="1" x14ac:dyDescent="0.2">
      <c r="A60" s="8"/>
      <c r="B60" s="8"/>
      <c r="C60" s="8"/>
      <c r="D60" s="8"/>
      <c r="E60" s="8"/>
      <c r="F60" s="8"/>
      <c r="G60" s="8"/>
    </row>
    <row r="65" ht="18.75" customHeight="1" x14ac:dyDescent="0.2"/>
    <row r="72" ht="25.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114" spans="1:8" x14ac:dyDescent="0.2">
      <c r="A114" s="1"/>
      <c r="B114" s="1"/>
      <c r="C114" s="1"/>
      <c r="D114" s="1"/>
      <c r="E114" s="1"/>
      <c r="F114" s="1"/>
      <c r="G114" s="1"/>
      <c r="H114" s="1"/>
    </row>
    <row r="115" spans="1:8" x14ac:dyDescent="0.2">
      <c r="A115" s="1563"/>
      <c r="B115" s="1564"/>
      <c r="C115" s="1564"/>
      <c r="D115" s="1564"/>
      <c r="E115" s="1564"/>
      <c r="F115" s="1564"/>
      <c r="G115" s="1564"/>
      <c r="H115" s="156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52">
    <mergeCell ref="A44:D44"/>
    <mergeCell ref="A42:D42"/>
    <mergeCell ref="A41:D41"/>
    <mergeCell ref="A53:F53"/>
    <mergeCell ref="A45:D45"/>
    <mergeCell ref="A47:D47"/>
    <mergeCell ref="A48:D48"/>
    <mergeCell ref="A49:E49"/>
    <mergeCell ref="A46:D46"/>
    <mergeCell ref="A50:D50"/>
    <mergeCell ref="A51:D51"/>
    <mergeCell ref="A52:D52"/>
    <mergeCell ref="A43:D43"/>
    <mergeCell ref="A115:H115"/>
    <mergeCell ref="A54:F54"/>
    <mergeCell ref="A55:F55"/>
    <mergeCell ref="A57:F57"/>
    <mergeCell ref="A59:F59"/>
    <mergeCell ref="A58:F58"/>
    <mergeCell ref="A56:F56"/>
    <mergeCell ref="A1:H1"/>
    <mergeCell ref="E3:G3"/>
    <mergeCell ref="E2:G2"/>
    <mergeCell ref="G17:H19"/>
    <mergeCell ref="D13:F13"/>
    <mergeCell ref="G4:H4"/>
    <mergeCell ref="D12:H12"/>
    <mergeCell ref="D11:H11"/>
    <mergeCell ref="A21:E24"/>
    <mergeCell ref="D8:E8"/>
    <mergeCell ref="D14:F14"/>
    <mergeCell ref="G20:H20"/>
    <mergeCell ref="G21:H21"/>
    <mergeCell ref="G22:H22"/>
    <mergeCell ref="G23:H23"/>
    <mergeCell ref="G24:H24"/>
    <mergeCell ref="D16:E16"/>
    <mergeCell ref="G8:H8"/>
    <mergeCell ref="G37:G38"/>
    <mergeCell ref="H37:H38"/>
    <mergeCell ref="G27:H27"/>
    <mergeCell ref="G28:H28"/>
    <mergeCell ref="G25:H25"/>
    <mergeCell ref="G26:H26"/>
    <mergeCell ref="G29:H29"/>
    <mergeCell ref="G30:H30"/>
    <mergeCell ref="A39:D39"/>
    <mergeCell ref="A40:D40"/>
    <mergeCell ref="A25:C25"/>
    <mergeCell ref="F37:F38"/>
    <mergeCell ref="D31:E31"/>
    <mergeCell ref="A37:D37"/>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9">
      <formula1>"BUILDING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2"/>
  <headerFooter alignWithMargins="0">
    <oddFooter>&amp;L&amp;"Arial,Regular"&amp;8&amp;F: &amp;A&amp;C&amp;"Arial,Regular"&amp;11&amp;P&amp;R&amp;"Arial,Regular"&amp;8&amp;D</oddFooter>
  </headerFooter>
  <rowBreaks count="1" manualBreakCount="1">
    <brk id="51"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H116"/>
  <sheetViews>
    <sheetView topLeftCell="A10" zoomScale="70" zoomScaleNormal="70" zoomScaleSheetLayoutView="70" workbookViewId="0">
      <selection activeCell="D32" sqref="D32"/>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69.75" customHeight="1" thickTop="1" thickBot="1" x14ac:dyDescent="0.25">
      <c r="A1" s="1541" t="s">
        <v>626</v>
      </c>
      <c r="B1" s="1542"/>
      <c r="C1" s="1542"/>
      <c r="D1" s="1542"/>
      <c r="E1" s="1542"/>
      <c r="F1" s="1542"/>
      <c r="G1" s="1542"/>
      <c r="H1" s="1543"/>
    </row>
    <row r="2" spans="1:8" ht="46.5" customHeight="1" thickTop="1" x14ac:dyDescent="0.2">
      <c r="A2" s="540"/>
      <c r="B2" s="541"/>
      <c r="C2" s="541"/>
      <c r="D2" s="539"/>
      <c r="E2" s="1546" t="s">
        <v>412</v>
      </c>
      <c r="F2" s="1547"/>
      <c r="G2" s="1547"/>
      <c r="H2" s="141"/>
    </row>
    <row r="3" spans="1:8" ht="31.5" customHeight="1" thickBot="1" x14ac:dyDescent="0.25">
      <c r="A3" s="445"/>
      <c r="B3" s="142"/>
      <c r="C3" s="142"/>
      <c r="D3" s="142"/>
      <c r="E3" s="1544" t="s">
        <v>413</v>
      </c>
      <c r="F3" s="1545"/>
      <c r="G3" s="1545"/>
      <c r="H3" s="634" t="str">
        <f>'Input Data'!H3</f>
        <v>Version: 1.2  2012-10</v>
      </c>
    </row>
    <row r="4" spans="1:8" ht="18" customHeight="1" thickTop="1" x14ac:dyDescent="0.2">
      <c r="A4" s="646"/>
      <c r="B4" s="558"/>
      <c r="C4" s="559" t="s">
        <v>302</v>
      </c>
      <c r="D4" s="647" t="s">
        <v>359</v>
      </c>
      <c r="E4" s="648"/>
      <c r="F4" s="649" t="s">
        <v>301</v>
      </c>
      <c r="G4" s="1618" t="s">
        <v>363</v>
      </c>
      <c r="H4" s="1619"/>
    </row>
    <row r="5" spans="1:8" ht="18" customHeight="1" x14ac:dyDescent="0.2">
      <c r="A5" s="650"/>
      <c r="B5" s="560"/>
      <c r="C5" s="561" t="s">
        <v>303</v>
      </c>
      <c r="D5" s="651">
        <v>79867</v>
      </c>
      <c r="E5" s="652"/>
      <c r="F5" s="523" t="s">
        <v>242</v>
      </c>
      <c r="G5" s="653" t="s">
        <v>365</v>
      </c>
      <c r="H5" s="654"/>
    </row>
    <row r="6" spans="1:8" ht="18" customHeight="1" x14ac:dyDescent="0.2">
      <c r="A6" s="650"/>
      <c r="B6" s="560"/>
      <c r="C6" s="561" t="s">
        <v>322</v>
      </c>
      <c r="D6" s="655">
        <v>2</v>
      </c>
      <c r="E6" s="652"/>
      <c r="F6" s="523" t="s">
        <v>266</v>
      </c>
      <c r="G6" s="653" t="s">
        <v>366</v>
      </c>
      <c r="H6" s="654"/>
    </row>
    <row r="7" spans="1:8" ht="18" customHeight="1" x14ac:dyDescent="0.2">
      <c r="A7" s="650"/>
      <c r="B7" s="560"/>
      <c r="C7" s="561" t="s">
        <v>241</v>
      </c>
      <c r="D7" s="656" t="s">
        <v>360</v>
      </c>
      <c r="E7" s="652"/>
      <c r="F7" s="24" t="s">
        <v>262</v>
      </c>
      <c r="G7" s="653" t="s">
        <v>391</v>
      </c>
      <c r="H7" s="657"/>
    </row>
    <row r="8" spans="1:8" ht="18" customHeight="1" x14ac:dyDescent="0.2">
      <c r="A8" s="650"/>
      <c r="B8" s="560"/>
      <c r="C8" s="561" t="s">
        <v>313</v>
      </c>
      <c r="D8" s="1633" t="s">
        <v>314</v>
      </c>
      <c r="E8" s="1634"/>
      <c r="F8" s="523" t="s">
        <v>240</v>
      </c>
      <c r="G8" s="1642" t="s">
        <v>364</v>
      </c>
      <c r="H8" s="1643"/>
    </row>
    <row r="9" spans="1:8" ht="18" customHeight="1" x14ac:dyDescent="0.2">
      <c r="A9" s="650"/>
      <c r="B9" s="560"/>
      <c r="C9" s="562" t="s">
        <v>122</v>
      </c>
      <c r="D9" s="658" t="s">
        <v>292</v>
      </c>
      <c r="E9" s="437" t="s">
        <v>37</v>
      </c>
      <c r="F9" s="30"/>
      <c r="G9" s="30"/>
      <c r="H9" s="407"/>
    </row>
    <row r="10" spans="1:8" ht="18" customHeight="1" x14ac:dyDescent="0.2">
      <c r="A10" s="1084"/>
      <c r="B10" s="1035"/>
      <c r="C10" s="1042" t="s">
        <v>431</v>
      </c>
      <c r="D10" s="1043" t="s">
        <v>432</v>
      </c>
      <c r="E10" s="1044" t="str">
        <f>IF($D$10="Yes", "NO OF DAYS","")</f>
        <v>NO OF DAYS</v>
      </c>
      <c r="F10" s="1045">
        <v>30</v>
      </c>
      <c r="G10" s="1046" t="str">
        <f>IF($D$10="Yes", "RATE","")</f>
        <v>RATE</v>
      </c>
      <c r="H10" s="1047">
        <v>500</v>
      </c>
    </row>
    <row r="11" spans="1:8" ht="18" customHeight="1" thickBot="1" x14ac:dyDescent="0.25">
      <c r="A11" s="659"/>
      <c r="B11" s="568"/>
      <c r="C11" s="565" t="s">
        <v>116</v>
      </c>
      <c r="D11" s="1622" t="s">
        <v>389</v>
      </c>
      <c r="E11" s="1623"/>
      <c r="F11" s="1623"/>
      <c r="G11" s="1623"/>
      <c r="H11" s="1624"/>
    </row>
    <row r="12" spans="1:8" ht="18" customHeight="1" thickTop="1" x14ac:dyDescent="0.2">
      <c r="A12" s="660"/>
      <c r="B12" s="566"/>
      <c r="C12" s="567" t="s">
        <v>323</v>
      </c>
      <c r="D12" s="1618" t="s">
        <v>367</v>
      </c>
      <c r="E12" s="1620"/>
      <c r="F12" s="1620"/>
      <c r="G12" s="1620"/>
      <c r="H12" s="1621"/>
    </row>
    <row r="13" spans="1:8" ht="18" customHeight="1" x14ac:dyDescent="0.2">
      <c r="A13" s="650"/>
      <c r="B13" s="560"/>
      <c r="C13" s="561" t="s">
        <v>159</v>
      </c>
      <c r="D13" s="1616" t="s">
        <v>368</v>
      </c>
      <c r="E13" s="1617"/>
      <c r="F13" s="1617"/>
      <c r="G13" s="611" t="s">
        <v>374</v>
      </c>
      <c r="H13" s="661">
        <v>1034</v>
      </c>
    </row>
    <row r="14" spans="1:8" ht="18" customHeight="1" x14ac:dyDescent="0.2">
      <c r="A14" s="650"/>
      <c r="B14" s="560"/>
      <c r="C14" s="561" t="s">
        <v>361</v>
      </c>
      <c r="D14" s="1635" t="s">
        <v>369</v>
      </c>
      <c r="E14" s="1636"/>
      <c r="F14" s="1636"/>
      <c r="G14" s="611" t="s">
        <v>374</v>
      </c>
      <c r="H14" s="662">
        <v>1002</v>
      </c>
    </row>
    <row r="15" spans="1:8" ht="18" customHeight="1" x14ac:dyDescent="0.2">
      <c r="A15" s="650"/>
      <c r="B15" s="560"/>
      <c r="C15" s="561" t="s">
        <v>160</v>
      </c>
      <c r="D15" s="663" t="s">
        <v>370</v>
      </c>
      <c r="E15" s="664" t="s">
        <v>243</v>
      </c>
      <c r="F15" s="665" t="s">
        <v>390</v>
      </c>
      <c r="G15" s="664" t="s">
        <v>244</v>
      </c>
      <c r="H15" s="666" t="s">
        <v>371</v>
      </c>
    </row>
    <row r="16" spans="1:8" ht="18" customHeight="1" thickBot="1" x14ac:dyDescent="0.25">
      <c r="A16" s="650"/>
      <c r="B16" s="560"/>
      <c r="C16" s="561" t="s">
        <v>240</v>
      </c>
      <c r="D16" s="1640" t="s">
        <v>372</v>
      </c>
      <c r="E16" s="1641"/>
      <c r="F16" s="667"/>
      <c r="G16" s="523"/>
      <c r="H16" s="668"/>
    </row>
    <row r="17" spans="1:8" ht="18" customHeight="1" thickTop="1" x14ac:dyDescent="0.2">
      <c r="A17" s="650"/>
      <c r="B17" s="560"/>
      <c r="C17" s="561" t="s">
        <v>112</v>
      </c>
      <c r="D17" s="669" t="s">
        <v>376</v>
      </c>
      <c r="E17" s="365" t="s">
        <v>376</v>
      </c>
      <c r="F17" s="586" t="s">
        <v>246</v>
      </c>
      <c r="G17" s="1548" t="s">
        <v>300</v>
      </c>
      <c r="H17" s="1549"/>
    </row>
    <row r="18" spans="1:8" ht="18" customHeight="1" x14ac:dyDescent="0.2">
      <c r="A18" s="650"/>
      <c r="B18" s="560"/>
      <c r="C18" s="561" t="s">
        <v>245</v>
      </c>
      <c r="D18" s="670" t="s">
        <v>373</v>
      </c>
      <c r="E18" s="143" t="s">
        <v>414</v>
      </c>
      <c r="F18" s="516"/>
      <c r="G18" s="1550"/>
      <c r="H18" s="1551"/>
    </row>
    <row r="19" spans="1:8" ht="18" customHeight="1" x14ac:dyDescent="0.2">
      <c r="A19" s="650"/>
      <c r="B19" s="563"/>
      <c r="C19" s="561" t="s">
        <v>29</v>
      </c>
      <c r="D19" s="671">
        <v>40332</v>
      </c>
      <c r="E19" s="143"/>
      <c r="F19" s="517"/>
      <c r="G19" s="1552"/>
      <c r="H19" s="1553"/>
    </row>
    <row r="20" spans="1:8" ht="18" customHeight="1" thickBot="1" x14ac:dyDescent="0.25">
      <c r="A20" s="659"/>
      <c r="B20" s="564"/>
      <c r="C20" s="565" t="s">
        <v>161</v>
      </c>
      <c r="D20" s="685">
        <v>2011</v>
      </c>
      <c r="E20" s="569">
        <v>1</v>
      </c>
      <c r="F20" s="577" t="s">
        <v>247</v>
      </c>
      <c r="G20" s="1637" t="s">
        <v>380</v>
      </c>
      <c r="H20" s="1638"/>
    </row>
    <row r="21" spans="1:8" ht="18" customHeight="1" thickTop="1" x14ac:dyDescent="0.2">
      <c r="A21" s="1523" t="s">
        <v>417</v>
      </c>
      <c r="B21" s="1625"/>
      <c r="C21" s="1625"/>
      <c r="D21" s="1625"/>
      <c r="E21" s="1626"/>
      <c r="F21" s="577" t="s">
        <v>248</v>
      </c>
      <c r="G21" s="1637" t="s">
        <v>381</v>
      </c>
      <c r="H21" s="1638"/>
    </row>
    <row r="22" spans="1:8" ht="18" customHeight="1" x14ac:dyDescent="0.2">
      <c r="A22" s="1627"/>
      <c r="B22" s="1628"/>
      <c r="C22" s="1628"/>
      <c r="D22" s="1628"/>
      <c r="E22" s="1629"/>
      <c r="F22" s="577" t="s">
        <v>249</v>
      </c>
      <c r="G22" s="1639" t="s">
        <v>382</v>
      </c>
      <c r="H22" s="1638"/>
    </row>
    <row r="23" spans="1:8" ht="18" customHeight="1" x14ac:dyDescent="0.2">
      <c r="A23" s="1627"/>
      <c r="B23" s="1628"/>
      <c r="C23" s="1628"/>
      <c r="D23" s="1628"/>
      <c r="E23" s="1629"/>
      <c r="F23" s="577" t="s">
        <v>112</v>
      </c>
      <c r="G23" s="1535" t="s">
        <v>433</v>
      </c>
      <c r="H23" s="1536"/>
    </row>
    <row r="24" spans="1:8" ht="27.75" customHeight="1" thickBot="1" x14ac:dyDescent="0.25">
      <c r="A24" s="1630"/>
      <c r="B24" s="1631"/>
      <c r="C24" s="1631"/>
      <c r="D24" s="1631"/>
      <c r="E24" s="1632"/>
      <c r="F24" s="578" t="s">
        <v>362</v>
      </c>
      <c r="G24" s="1637" t="s">
        <v>383</v>
      </c>
      <c r="H24" s="1638"/>
    </row>
    <row r="25" spans="1:8" ht="18" customHeight="1" thickTop="1" x14ac:dyDescent="0.2">
      <c r="A25" s="1503" t="s">
        <v>30</v>
      </c>
      <c r="B25" s="1645"/>
      <c r="C25" s="1646"/>
      <c r="D25" s="366" t="s">
        <v>415</v>
      </c>
      <c r="E25" s="30"/>
      <c r="F25" s="579" t="s">
        <v>250</v>
      </c>
      <c r="G25" s="1637" t="s">
        <v>384</v>
      </c>
      <c r="H25" s="1638"/>
    </row>
    <row r="26" spans="1:8" ht="18" customHeight="1" x14ac:dyDescent="0.2">
      <c r="A26" s="672"/>
      <c r="B26" s="575"/>
      <c r="C26" s="576" t="s">
        <v>236</v>
      </c>
      <c r="D26" s="673">
        <v>100</v>
      </c>
      <c r="E26" s="453" t="s">
        <v>324</v>
      </c>
      <c r="F26" s="579" t="s">
        <v>251</v>
      </c>
      <c r="G26" s="1637" t="s">
        <v>381</v>
      </c>
      <c r="H26" s="1638"/>
    </row>
    <row r="27" spans="1:8" ht="18" customHeight="1" x14ac:dyDescent="0.2">
      <c r="A27" s="674"/>
      <c r="B27" s="570"/>
      <c r="C27" s="571" t="s">
        <v>139</v>
      </c>
      <c r="D27" s="675">
        <v>40420</v>
      </c>
      <c r="E27" s="367"/>
      <c r="F27" s="580" t="s">
        <v>374</v>
      </c>
      <c r="G27" s="1639" t="s">
        <v>385</v>
      </c>
      <c r="H27" s="1650"/>
    </row>
    <row r="28" spans="1:8" ht="18" customHeight="1" x14ac:dyDescent="0.2">
      <c r="A28" s="650"/>
      <c r="B28" s="560"/>
      <c r="C28" s="561" t="s">
        <v>18</v>
      </c>
      <c r="D28" s="655">
        <v>1</v>
      </c>
      <c r="E28" s="367"/>
      <c r="F28" s="581" t="s">
        <v>242</v>
      </c>
      <c r="G28" s="1637" t="s">
        <v>386</v>
      </c>
      <c r="H28" s="1638"/>
    </row>
    <row r="29" spans="1:8" ht="18" customHeight="1" x14ac:dyDescent="0.2">
      <c r="A29" s="650"/>
      <c r="B29" s="560"/>
      <c r="C29" s="561" t="s">
        <v>117</v>
      </c>
      <c r="D29" s="669" t="s">
        <v>392</v>
      </c>
      <c r="E29" s="367"/>
      <c r="F29" s="582" t="s">
        <v>252</v>
      </c>
      <c r="G29" s="1637" t="s">
        <v>387</v>
      </c>
      <c r="H29" s="1638"/>
    </row>
    <row r="30" spans="1:8" ht="18" customHeight="1" thickBot="1" x14ac:dyDescent="0.25">
      <c r="A30" s="650"/>
      <c r="B30" s="560"/>
      <c r="C30" s="561" t="s">
        <v>253</v>
      </c>
      <c r="D30" s="669" t="s">
        <v>398</v>
      </c>
      <c r="E30" s="528"/>
      <c r="F30" s="583" t="s">
        <v>254</v>
      </c>
      <c r="G30" s="1622" t="s">
        <v>388</v>
      </c>
      <c r="H30" s="1644"/>
    </row>
    <row r="31" spans="1:8" ht="18" customHeight="1" thickTop="1" x14ac:dyDescent="0.2">
      <c r="A31" s="650"/>
      <c r="B31" s="572"/>
      <c r="C31" s="561" t="s">
        <v>416</v>
      </c>
      <c r="D31" s="1651" t="s">
        <v>327</v>
      </c>
      <c r="E31" s="1634"/>
      <c r="F31" s="584">
        <v>6</v>
      </c>
      <c r="G31" s="21"/>
      <c r="H31" s="534"/>
    </row>
    <row r="32" spans="1:8" ht="18" customHeight="1" x14ac:dyDescent="0.2">
      <c r="A32" s="1084"/>
      <c r="B32" s="1048"/>
      <c r="C32" s="1051" t="s">
        <v>434</v>
      </c>
      <c r="D32" s="1052">
        <v>1</v>
      </c>
      <c r="E32" s="710"/>
      <c r="F32" s="1085"/>
      <c r="G32" s="21"/>
      <c r="H32" s="534"/>
    </row>
    <row r="33" spans="1:8" ht="18" customHeight="1" thickBot="1" x14ac:dyDescent="0.25">
      <c r="A33" s="676"/>
      <c r="B33" s="677"/>
      <c r="C33" s="574" t="s">
        <v>181</v>
      </c>
      <c r="D33" s="678" t="s">
        <v>321</v>
      </c>
      <c r="E33" s="24"/>
      <c r="F33" s="24"/>
      <c r="G33" s="21"/>
      <c r="H33" s="535">
        <v>490000</v>
      </c>
    </row>
    <row r="34" spans="1:8" ht="18" customHeight="1" x14ac:dyDescent="0.2">
      <c r="A34" s="679"/>
      <c r="B34" s="587"/>
      <c r="C34" s="587"/>
      <c r="D34" s="588" t="s">
        <v>28</v>
      </c>
      <c r="E34" s="680" t="s">
        <v>315</v>
      </c>
      <c r="F34" s="21"/>
      <c r="G34" s="20"/>
      <c r="H34" s="536"/>
    </row>
    <row r="35" spans="1:8" ht="18" customHeight="1" x14ac:dyDescent="0.2">
      <c r="A35" s="650"/>
      <c r="B35" s="560"/>
      <c r="C35" s="560"/>
      <c r="D35" s="561" t="s">
        <v>377</v>
      </c>
      <c r="E35" s="681" t="s">
        <v>315</v>
      </c>
      <c r="F35" s="21"/>
      <c r="G35" s="20"/>
      <c r="H35" s="536"/>
    </row>
    <row r="36" spans="1:8" ht="18" customHeight="1" thickBot="1" x14ac:dyDescent="0.25">
      <c r="A36" s="659"/>
      <c r="B36" s="568"/>
      <c r="C36" s="568"/>
      <c r="D36" s="565" t="s">
        <v>162</v>
      </c>
      <c r="E36" s="682" t="s">
        <v>315</v>
      </c>
      <c r="F36" s="21"/>
      <c r="G36" s="26"/>
      <c r="H36" s="25"/>
    </row>
    <row r="37" spans="1:8" ht="67.5" customHeight="1" thickTop="1" thickBot="1" x14ac:dyDescent="0.25">
      <c r="A37" s="1510" t="s">
        <v>397</v>
      </c>
      <c r="B37" s="1511"/>
      <c r="C37" s="1511"/>
      <c r="D37" s="1512"/>
      <c r="E37" s="632" t="s">
        <v>308</v>
      </c>
      <c r="F37" s="1506" t="s">
        <v>309</v>
      </c>
      <c r="G37" s="1513" t="s">
        <v>310</v>
      </c>
      <c r="H37" s="1515" t="s">
        <v>148</v>
      </c>
    </row>
    <row r="38" spans="1:8" ht="22.5" customHeight="1" thickBot="1" x14ac:dyDescent="0.25">
      <c r="A38" s="529" t="s">
        <v>197</v>
      </c>
      <c r="B38" s="522"/>
      <c r="C38" s="522"/>
      <c r="D38" s="683" t="s">
        <v>407</v>
      </c>
      <c r="E38" s="633">
        <v>2</v>
      </c>
      <c r="F38" s="1647"/>
      <c r="G38" s="1648"/>
      <c r="H38" s="1649"/>
    </row>
    <row r="39" spans="1:8" ht="30" customHeight="1" thickTop="1" x14ac:dyDescent="0.2">
      <c r="A39" s="1497" t="s">
        <v>183</v>
      </c>
      <c r="B39" s="1498"/>
      <c r="C39" s="1498"/>
      <c r="D39" s="1499"/>
      <c r="E39" s="1086">
        <v>2100000</v>
      </c>
      <c r="F39" s="1086">
        <v>2100000</v>
      </c>
      <c r="G39" s="1086">
        <v>2100000</v>
      </c>
      <c r="H39" s="807">
        <v>2100000</v>
      </c>
    </row>
    <row r="40" spans="1:8" ht="30" customHeight="1" x14ac:dyDescent="0.2">
      <c r="A40" s="1500" t="s">
        <v>184</v>
      </c>
      <c r="B40" s="1501"/>
      <c r="C40" s="1501"/>
      <c r="D40" s="1502"/>
      <c r="E40" s="1087">
        <v>1000000</v>
      </c>
      <c r="F40" s="1087">
        <v>1000000</v>
      </c>
      <c r="G40" s="1087">
        <v>1000000</v>
      </c>
      <c r="H40" s="807">
        <v>1000000</v>
      </c>
    </row>
    <row r="41" spans="1:8" ht="32.25" customHeight="1" x14ac:dyDescent="0.2">
      <c r="A41" s="1500" t="s">
        <v>185</v>
      </c>
      <c r="B41" s="1586"/>
      <c r="C41" s="1586"/>
      <c r="D41" s="1587"/>
      <c r="E41" s="1087">
        <v>900000</v>
      </c>
      <c r="F41" s="1087">
        <v>900000</v>
      </c>
      <c r="G41" s="1087">
        <v>900000</v>
      </c>
      <c r="H41" s="807">
        <v>900000</v>
      </c>
    </row>
    <row r="42" spans="1:8" ht="41.25" customHeight="1" x14ac:dyDescent="0.2">
      <c r="A42" s="1500" t="s">
        <v>186</v>
      </c>
      <c r="B42" s="1501"/>
      <c r="C42" s="1501"/>
      <c r="D42" s="1502"/>
      <c r="E42" s="1087">
        <v>800000</v>
      </c>
      <c r="F42" s="1087">
        <v>800000</v>
      </c>
      <c r="G42" s="1087">
        <v>800000</v>
      </c>
      <c r="H42" s="807">
        <v>800000</v>
      </c>
    </row>
    <row r="43" spans="1:8" ht="42.75" customHeight="1" x14ac:dyDescent="0.2">
      <c r="A43" s="1500" t="s">
        <v>187</v>
      </c>
      <c r="B43" s="1586"/>
      <c r="C43" s="1586"/>
      <c r="D43" s="1587"/>
      <c r="E43" s="1087">
        <v>700000</v>
      </c>
      <c r="F43" s="1087">
        <v>700000</v>
      </c>
      <c r="G43" s="1087">
        <v>700000</v>
      </c>
      <c r="H43" s="807">
        <v>700000</v>
      </c>
    </row>
    <row r="44" spans="1:8" ht="47.25" customHeight="1" x14ac:dyDescent="0.2">
      <c r="A44" s="1500" t="s">
        <v>188</v>
      </c>
      <c r="B44" s="1586"/>
      <c r="C44" s="1586"/>
      <c r="D44" s="1587"/>
      <c r="E44" s="1087">
        <v>600000</v>
      </c>
      <c r="F44" s="1087">
        <v>600000</v>
      </c>
      <c r="G44" s="1087">
        <v>600000</v>
      </c>
      <c r="H44" s="807">
        <v>600000</v>
      </c>
    </row>
    <row r="45" spans="1:8" ht="30" customHeight="1" x14ac:dyDescent="0.2">
      <c r="A45" s="1500" t="s">
        <v>189</v>
      </c>
      <c r="B45" s="1586"/>
      <c r="C45" s="1586"/>
      <c r="D45" s="1587"/>
      <c r="E45" s="1087">
        <v>500000</v>
      </c>
      <c r="F45" s="1087">
        <v>500000</v>
      </c>
      <c r="G45" s="1087">
        <v>500000</v>
      </c>
      <c r="H45" s="807">
        <v>500000</v>
      </c>
    </row>
    <row r="46" spans="1:8" ht="41.25" customHeight="1" thickBot="1" x14ac:dyDescent="0.25">
      <c r="A46" s="1497" t="s">
        <v>190</v>
      </c>
      <c r="B46" s="1597"/>
      <c r="C46" s="1597"/>
      <c r="D46" s="1598"/>
      <c r="E46" s="1087">
        <v>400000</v>
      </c>
      <c r="F46" s="1087">
        <v>400000</v>
      </c>
      <c r="G46" s="1087">
        <v>400000</v>
      </c>
      <c r="H46" s="807">
        <v>400000</v>
      </c>
    </row>
    <row r="47" spans="1:8" ht="42.75" customHeight="1" thickBot="1" x14ac:dyDescent="0.25">
      <c r="A47" s="1590" t="s">
        <v>199</v>
      </c>
      <c r="B47" s="1591"/>
      <c r="C47" s="1591"/>
      <c r="D47" s="1592"/>
      <c r="E47" s="1074">
        <v>4500000</v>
      </c>
      <c r="F47" s="1074">
        <v>4500000</v>
      </c>
      <c r="G47" s="1074">
        <v>4500000</v>
      </c>
      <c r="H47" s="806">
        <v>4500000</v>
      </c>
    </row>
    <row r="48" spans="1:8" ht="30" customHeight="1" thickBot="1" x14ac:dyDescent="0.25">
      <c r="A48" s="1572" t="s">
        <v>305</v>
      </c>
      <c r="B48" s="1593"/>
      <c r="C48" s="1593"/>
      <c r="D48" s="1594"/>
      <c r="E48" s="1075">
        <v>11500000</v>
      </c>
      <c r="F48" s="1075">
        <v>11500000</v>
      </c>
      <c r="G48" s="1075">
        <v>11500000</v>
      </c>
      <c r="H48" s="1075">
        <v>11500000</v>
      </c>
    </row>
    <row r="49" spans="1:8" ht="30" customHeight="1" thickBot="1" x14ac:dyDescent="0.25">
      <c r="A49" s="1595" t="s">
        <v>414</v>
      </c>
      <c r="B49" s="1596"/>
      <c r="C49" s="1596"/>
      <c r="D49" s="1596"/>
      <c r="E49" s="1596"/>
      <c r="F49" s="288" t="s">
        <v>414</v>
      </c>
      <c r="G49" s="291" t="s">
        <v>414</v>
      </c>
      <c r="H49" s="537"/>
    </row>
    <row r="50" spans="1:8" ht="30" customHeight="1" thickBot="1" x14ac:dyDescent="0.25">
      <c r="A50" s="1607"/>
      <c r="B50" s="1608"/>
      <c r="C50" s="1608"/>
      <c r="D50" s="1608"/>
      <c r="E50" s="1609"/>
      <c r="F50" s="289"/>
      <c r="G50" s="289"/>
      <c r="H50" s="290"/>
    </row>
    <row r="51" spans="1:8" ht="41.25" customHeight="1" thickBot="1" x14ac:dyDescent="0.25">
      <c r="A51" s="1599" t="s">
        <v>293</v>
      </c>
      <c r="B51" s="1600"/>
      <c r="C51" s="1600"/>
      <c r="D51" s="1601"/>
      <c r="E51" s="1088">
        <v>2000000</v>
      </c>
      <c r="F51" s="1088">
        <v>2000000</v>
      </c>
      <c r="G51" s="1088">
        <v>2000000</v>
      </c>
      <c r="H51" s="801">
        <v>2000000</v>
      </c>
    </row>
    <row r="52" spans="1:8" ht="45" customHeight="1" thickBot="1" x14ac:dyDescent="0.25">
      <c r="A52" s="1602" t="s">
        <v>200</v>
      </c>
      <c r="B52" s="1603"/>
      <c r="C52" s="1603"/>
      <c r="D52" s="1604"/>
      <c r="E52" s="1089">
        <v>15000000</v>
      </c>
      <c r="F52" s="1089">
        <v>15000000</v>
      </c>
      <c r="G52" s="1089">
        <v>15000000</v>
      </c>
      <c r="H52" s="802">
        <v>15000000</v>
      </c>
    </row>
    <row r="53" spans="1:8" ht="30.75" customHeight="1" thickTop="1" thickBot="1" x14ac:dyDescent="0.25">
      <c r="A53" s="1610" t="s">
        <v>400</v>
      </c>
      <c r="B53" s="1611"/>
      <c r="C53" s="1611"/>
      <c r="D53" s="1611"/>
      <c r="E53" s="684"/>
      <c r="F53" s="684"/>
      <c r="G53" s="684"/>
      <c r="H53" s="616"/>
    </row>
    <row r="54" spans="1:8" ht="51.75" customHeight="1" thickTop="1" thickBot="1" x14ac:dyDescent="0.25">
      <c r="A54" s="1588" t="s">
        <v>396</v>
      </c>
      <c r="B54" s="1589"/>
      <c r="C54" s="1589"/>
      <c r="D54" s="1589"/>
      <c r="E54" s="1589"/>
      <c r="F54" s="1589"/>
      <c r="G54" s="589" t="s">
        <v>311</v>
      </c>
      <c r="H54" s="618" t="s">
        <v>148</v>
      </c>
    </row>
    <row r="55" spans="1:8" ht="30" customHeight="1" thickTop="1" x14ac:dyDescent="0.2">
      <c r="A55" s="1612" t="s">
        <v>191</v>
      </c>
      <c r="B55" s="1613"/>
      <c r="C55" s="1613"/>
      <c r="D55" s="1613"/>
      <c r="E55" s="1614"/>
      <c r="F55" s="1615"/>
      <c r="G55" s="1090">
        <v>6100000</v>
      </c>
      <c r="H55" s="808">
        <v>6100000</v>
      </c>
    </row>
    <row r="56" spans="1:8" ht="30" customHeight="1" x14ac:dyDescent="0.2">
      <c r="A56" s="1569" t="s">
        <v>192</v>
      </c>
      <c r="B56" s="1570"/>
      <c r="C56" s="1570"/>
      <c r="D56" s="1570"/>
      <c r="E56" s="1570"/>
      <c r="F56" s="1570"/>
      <c r="G56" s="1091">
        <v>900000</v>
      </c>
      <c r="H56" s="809">
        <v>900000</v>
      </c>
    </row>
    <row r="57" spans="1:8" ht="30" customHeight="1" thickBot="1" x14ac:dyDescent="0.25">
      <c r="A57" s="1582" t="s">
        <v>206</v>
      </c>
      <c r="B57" s="1583"/>
      <c r="C57" s="1583"/>
      <c r="D57" s="1583"/>
      <c r="E57" s="1584"/>
      <c r="F57" s="1584"/>
      <c r="G57" s="1079">
        <v>4500000</v>
      </c>
      <c r="H57" s="810">
        <v>4500000</v>
      </c>
    </row>
    <row r="58" spans="1:8" ht="30" customHeight="1" thickBot="1" x14ac:dyDescent="0.25">
      <c r="A58" s="1572" t="s">
        <v>295</v>
      </c>
      <c r="B58" s="1573"/>
      <c r="C58" s="1573"/>
      <c r="D58" s="1573"/>
      <c r="E58" s="1574"/>
      <c r="F58" s="1574"/>
      <c r="G58" s="1080">
        <v>11500000</v>
      </c>
      <c r="H58" s="1092">
        <v>11500000</v>
      </c>
    </row>
    <row r="59" spans="1:8" ht="36.75" customHeight="1" thickBot="1" x14ac:dyDescent="0.25">
      <c r="A59" s="1579" t="s">
        <v>294</v>
      </c>
      <c r="B59" s="1580"/>
      <c r="C59" s="1580"/>
      <c r="D59" s="1580"/>
      <c r="E59" s="1580"/>
      <c r="F59" s="1580"/>
      <c r="G59" s="1090">
        <v>2000000</v>
      </c>
      <c r="H59" s="811">
        <v>2000000</v>
      </c>
    </row>
    <row r="60" spans="1:8" ht="39.75" customHeight="1" thickBot="1" x14ac:dyDescent="0.25">
      <c r="A60" s="1576" t="s">
        <v>378</v>
      </c>
      <c r="B60" s="1577"/>
      <c r="C60" s="1577"/>
      <c r="D60" s="1577"/>
      <c r="E60" s="1577"/>
      <c r="F60" s="1577"/>
      <c r="G60" s="1093">
        <v>15000000</v>
      </c>
      <c r="H60" s="1094">
        <v>15000000</v>
      </c>
    </row>
    <row r="61" spans="1:8" ht="15.75" thickTop="1" x14ac:dyDescent="0.2">
      <c r="A61" s="8"/>
      <c r="B61" s="8"/>
      <c r="C61" s="8"/>
      <c r="D61" s="8"/>
      <c r="E61" s="8"/>
      <c r="F61" s="8"/>
      <c r="G61" s="8"/>
    </row>
    <row r="66" ht="18.75" customHeight="1" x14ac:dyDescent="0.2"/>
    <row r="73" ht="25.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115" spans="1:8" x14ac:dyDescent="0.2">
      <c r="A115" s="1"/>
      <c r="B115" s="1"/>
      <c r="C115" s="1"/>
      <c r="D115" s="1"/>
      <c r="E115" s="1"/>
      <c r="F115" s="1"/>
      <c r="G115" s="1"/>
      <c r="H115" s="1"/>
    </row>
    <row r="116" spans="1:8" x14ac:dyDescent="0.2">
      <c r="A116" s="1563"/>
      <c r="B116" s="1564"/>
      <c r="C116" s="1564"/>
      <c r="D116" s="1564"/>
      <c r="E116" s="1564"/>
      <c r="F116" s="1564"/>
      <c r="G116" s="1564"/>
      <c r="H116" s="1564"/>
    </row>
  </sheetData>
  <sheetProtection password="CD4C" sheet="1" objects="1" scenarios="1" formatCells="0" formatColumns="0" formatRows="0"/>
  <mergeCells count="53">
    <mergeCell ref="A44:D44"/>
    <mergeCell ref="A42:D42"/>
    <mergeCell ref="A41:D41"/>
    <mergeCell ref="D31:E31"/>
    <mergeCell ref="A43:D43"/>
    <mergeCell ref="A39:D39"/>
    <mergeCell ref="A40:D40"/>
    <mergeCell ref="G29:H29"/>
    <mergeCell ref="G30:H30"/>
    <mergeCell ref="A37:D37"/>
    <mergeCell ref="A25:C25"/>
    <mergeCell ref="F37:F38"/>
    <mergeCell ref="G37:G38"/>
    <mergeCell ref="H37:H38"/>
    <mergeCell ref="G27:H27"/>
    <mergeCell ref="G28:H28"/>
    <mergeCell ref="G25:H25"/>
    <mergeCell ref="G26:H26"/>
    <mergeCell ref="A21:E24"/>
    <mergeCell ref="D8:E8"/>
    <mergeCell ref="D14:F14"/>
    <mergeCell ref="G20:H20"/>
    <mergeCell ref="G21:H21"/>
    <mergeCell ref="G22:H22"/>
    <mergeCell ref="G23:H23"/>
    <mergeCell ref="G24:H24"/>
    <mergeCell ref="D16:E16"/>
    <mergeCell ref="G8:H8"/>
    <mergeCell ref="A1:H1"/>
    <mergeCell ref="E3:G3"/>
    <mergeCell ref="E2:G2"/>
    <mergeCell ref="G17:H19"/>
    <mergeCell ref="D13:F13"/>
    <mergeCell ref="G4:H4"/>
    <mergeCell ref="D12:H12"/>
    <mergeCell ref="D11:H11"/>
    <mergeCell ref="A53:D53"/>
    <mergeCell ref="A116:H116"/>
    <mergeCell ref="A55:F55"/>
    <mergeCell ref="A56:F56"/>
    <mergeCell ref="A58:F58"/>
    <mergeCell ref="A60:F60"/>
    <mergeCell ref="A59:F59"/>
    <mergeCell ref="A57:F57"/>
    <mergeCell ref="A54:F54"/>
    <mergeCell ref="A51:D51"/>
    <mergeCell ref="A52:D52"/>
    <mergeCell ref="A45:D45"/>
    <mergeCell ref="A47:D47"/>
    <mergeCell ref="A50:E50"/>
    <mergeCell ref="A48:D48"/>
    <mergeCell ref="A49:E49"/>
    <mergeCell ref="A46:D46"/>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E31:E32 D31">
      <formula1>"INCEPTION, CONCEPT &amp; VIABILITY,DESIGN DEVELOPMENT,DOCUMENTATION &amp; PROCUREMENT,CONTRACT ADMINISTRATION &amp; INSPECTION, CLOSE OUT"</formula1>
    </dataValidation>
    <dataValidation type="list" allowBlank="1" showInputMessage="1" showErrorMessage="1" sqref="D9">
      <formula1>"BUILDING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1"/>
  <headerFooter alignWithMargins="0">
    <oddFooter>&amp;L&amp;"Arial,Regular"&amp;8&amp;F: &amp;A&amp;C&amp;"Arial,Regular"&amp;11&amp;P&amp;R&amp;"Arial,Regular"&amp;8&amp;D</oddFooter>
  </headerFooter>
  <rowBreaks count="1" manualBreakCount="1">
    <brk id="52"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S179"/>
  <sheetViews>
    <sheetView zoomScale="70" zoomScaleNormal="70" zoomScaleSheetLayoutView="70" workbookViewId="0"/>
  </sheetViews>
  <sheetFormatPr defaultRowHeight="15" x14ac:dyDescent="0.2"/>
  <cols>
    <col min="1" max="1" width="17.441406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5.33203125" customWidth="1"/>
    <col min="10" max="10" width="4.33203125" customWidth="1"/>
    <col min="11" max="11" width="12.21875" customWidth="1"/>
    <col min="12" max="12" width="3.21875" customWidth="1"/>
    <col min="13" max="13" width="13.88671875" customWidth="1"/>
    <col min="14" max="14" width="6.109375" customWidth="1"/>
    <col min="15" max="15" width="16" customWidth="1"/>
    <col min="16" max="16" width="5.77734375" customWidth="1"/>
    <col min="17" max="17" width="18.77734375" customWidth="1"/>
    <col min="19" max="19" width="16.44140625" bestFit="1" customWidth="1"/>
  </cols>
  <sheetData>
    <row r="1" spans="1:18" ht="38.25" customHeight="1" thickTop="1" x14ac:dyDescent="0.2">
      <c r="A1" s="538"/>
      <c r="B1" s="539"/>
      <c r="C1" s="539"/>
      <c r="D1" s="524"/>
      <c r="E1" s="506"/>
      <c r="F1" s="506"/>
      <c r="G1" s="507"/>
      <c r="H1" s="508"/>
      <c r="I1" s="508"/>
      <c r="J1" s="509"/>
      <c r="K1" s="506" t="s">
        <v>395</v>
      </c>
      <c r="L1" s="524"/>
      <c r="M1" s="609"/>
      <c r="N1" s="510"/>
      <c r="O1" s="615"/>
      <c r="P1" s="524"/>
      <c r="Q1" s="642"/>
      <c r="R1" s="130"/>
    </row>
    <row r="2" spans="1:18" ht="28.5" customHeight="1" x14ac:dyDescent="0.2">
      <c r="A2" s="540" t="s">
        <v>329</v>
      </c>
      <c r="B2" s="541"/>
      <c r="C2" s="541"/>
      <c r="D2" s="30"/>
      <c r="E2" s="30"/>
      <c r="F2" s="511"/>
      <c r="G2" s="30"/>
      <c r="H2" s="511"/>
      <c r="I2" s="399"/>
      <c r="J2" s="399"/>
      <c r="K2" s="30"/>
      <c r="L2" s="608" t="str">
        <f>'Input Data'!E2</f>
        <v xml:space="preserve">CIVIL &amp; STRUCTURAL ENGINEERING  </v>
      </c>
      <c r="M2" s="512" t="str">
        <f>'Input Data'!E3</f>
        <v>ENGINEERING PROJECT:  2011 NDPW FEES</v>
      </c>
      <c r="N2" s="513"/>
      <c r="O2" s="399"/>
      <c r="P2" s="399"/>
      <c r="Q2" s="635" t="str">
        <f>'Input Data'!H3</f>
        <v>Version: 1.2  2012-10</v>
      </c>
      <c r="R2" s="130"/>
    </row>
    <row r="3" spans="1:18" ht="15" customHeight="1" thickBot="1" x14ac:dyDescent="0.25">
      <c r="A3" s="400"/>
      <c r="B3" s="22"/>
      <c r="C3" s="22"/>
      <c r="D3" s="393"/>
      <c r="E3" s="22"/>
      <c r="F3" s="394"/>
      <c r="G3" s="394"/>
      <c r="H3" s="394"/>
      <c r="I3" s="22"/>
      <c r="J3" s="22"/>
      <c r="K3" s="30"/>
      <c r="L3" s="372" t="s">
        <v>18</v>
      </c>
      <c r="M3" s="1475">
        <f>'Input Data'!D28</f>
        <v>0</v>
      </c>
      <c r="N3" s="22"/>
      <c r="O3" s="30"/>
      <c r="P3" s="370" t="s">
        <v>139</v>
      </c>
      <c r="Q3" s="474">
        <f>'Input Data'!D27</f>
        <v>0</v>
      </c>
      <c r="R3" s="130"/>
    </row>
    <row r="4" spans="1:18" ht="18" customHeight="1" thickTop="1" thickBot="1" x14ac:dyDescent="0.25">
      <c r="A4" s="369" t="s">
        <v>299</v>
      </c>
      <c r="B4" s="467">
        <f>'Input Data'!D5</f>
        <v>0</v>
      </c>
      <c r="C4" s="1684" t="s">
        <v>330</v>
      </c>
      <c r="D4" s="1685"/>
      <c r="E4" s="1685"/>
      <c r="F4" s="1685"/>
      <c r="G4" s="1685"/>
      <c r="H4" s="1678">
        <f>'Input Data'!$D$6</f>
        <v>0</v>
      </c>
      <c r="I4" s="1679"/>
      <c r="J4" s="32"/>
      <c r="K4" s="32"/>
      <c r="L4" s="33"/>
      <c r="M4" s="30"/>
      <c r="N4" s="30"/>
      <c r="O4" s="368" t="s">
        <v>255</v>
      </c>
      <c r="P4" s="1662">
        <f>'Input Data'!D7</f>
        <v>0</v>
      </c>
      <c r="Q4" s="1663"/>
      <c r="R4" s="130"/>
    </row>
    <row r="5" spans="1:18" ht="20.25" customHeight="1" thickTop="1" thickBot="1" x14ac:dyDescent="0.25">
      <c r="A5" s="465" t="s">
        <v>19</v>
      </c>
      <c r="B5" s="1667">
        <f>'Input Data'!D11</f>
        <v>0</v>
      </c>
      <c r="C5" s="1668"/>
      <c r="D5" s="1668"/>
      <c r="E5" s="1668"/>
      <c r="F5" s="1668"/>
      <c r="G5" s="1668"/>
      <c r="H5" s="1668"/>
      <c r="I5" s="1668"/>
      <c r="J5" s="1668"/>
      <c r="K5" s="1668"/>
      <c r="L5" s="1668"/>
      <c r="M5" s="1668"/>
      <c r="N5" s="1668"/>
      <c r="O5" s="1668"/>
      <c r="P5" s="1668"/>
      <c r="Q5" s="1669"/>
      <c r="R5" s="130"/>
    </row>
    <row r="6" spans="1:18" ht="20.100000000000001" customHeight="1" thickTop="1" x14ac:dyDescent="0.2">
      <c r="A6" s="386" t="s">
        <v>246</v>
      </c>
      <c r="B6" s="1670" t="str">
        <f>'Input Data'!G17</f>
        <v>NATIONAL DEPARTMENT OF PUBLIC WORKS</v>
      </c>
      <c r="C6" s="1671"/>
      <c r="D6" s="1671"/>
      <c r="E6" s="1671"/>
      <c r="F6" s="1671"/>
      <c r="G6" s="1671"/>
      <c r="H6" s="1671"/>
      <c r="I6" s="1671"/>
      <c r="J6" s="1672"/>
      <c r="K6" s="1675" t="s">
        <v>256</v>
      </c>
      <c r="L6" s="1597"/>
      <c r="M6" s="525">
        <f>'Input Data'!D4</f>
        <v>0</v>
      </c>
      <c r="N6" s="1676" t="s">
        <v>257</v>
      </c>
      <c r="O6" s="1677"/>
      <c r="P6" s="1665" t="str">
        <f>'Input Data'!G23</f>
        <v>NOT REGISTERED</v>
      </c>
      <c r="Q6" s="1666"/>
      <c r="R6" s="130"/>
    </row>
    <row r="7" spans="1:18" ht="20.100000000000001" customHeight="1" x14ac:dyDescent="0.2">
      <c r="A7" s="386" t="s">
        <v>290</v>
      </c>
      <c r="B7" s="1682">
        <f>'Input Data'!G20</f>
        <v>0</v>
      </c>
      <c r="C7" s="1683"/>
      <c r="D7" s="1683"/>
      <c r="E7" s="1683"/>
      <c r="F7" s="1683"/>
      <c r="G7" s="1683"/>
      <c r="H7" s="1683"/>
      <c r="I7" s="1683"/>
      <c r="J7" s="1683"/>
      <c r="K7" s="1675" t="s">
        <v>258</v>
      </c>
      <c r="L7" s="1597"/>
      <c r="M7" s="1686">
        <f>'Input Data'!G21</f>
        <v>0</v>
      </c>
      <c r="N7" s="1687"/>
      <c r="O7" s="1687"/>
      <c r="P7" s="373" t="s">
        <v>374</v>
      </c>
      <c r="Q7" s="475">
        <f>'Input Data'!G22</f>
        <v>0</v>
      </c>
      <c r="R7" s="130"/>
    </row>
    <row r="8" spans="1:18" ht="20.100000000000001" customHeight="1" x14ac:dyDescent="0.2">
      <c r="A8" s="386" t="s">
        <v>375</v>
      </c>
      <c r="B8" s="1682">
        <f>'Input Data'!G25</f>
        <v>0</v>
      </c>
      <c r="C8" s="1683"/>
      <c r="D8" s="1683"/>
      <c r="E8" s="1683"/>
      <c r="F8" s="1683"/>
      <c r="G8" s="1683"/>
      <c r="H8" s="1683"/>
      <c r="I8" s="1683"/>
      <c r="J8" s="1683"/>
      <c r="K8" s="1675" t="s">
        <v>259</v>
      </c>
      <c r="L8" s="1597"/>
      <c r="M8" s="1686">
        <f>'Input Data'!G26</f>
        <v>0</v>
      </c>
      <c r="N8" s="1687"/>
      <c r="O8" s="1687"/>
      <c r="P8" s="373" t="s">
        <v>374</v>
      </c>
      <c r="Q8" s="475">
        <f>'Input Data'!G27</f>
        <v>0</v>
      </c>
      <c r="R8" s="130"/>
    </row>
    <row r="9" spans="1:18" ht="20.100000000000001" customHeight="1" x14ac:dyDescent="0.2">
      <c r="A9" s="386" t="s">
        <v>260</v>
      </c>
      <c r="B9" s="1682">
        <f>'Input Data'!G24</f>
        <v>0</v>
      </c>
      <c r="C9" s="1683"/>
      <c r="D9" s="1683"/>
      <c r="E9" s="1683"/>
      <c r="F9" s="1683"/>
      <c r="G9" s="1683"/>
      <c r="H9" s="1683"/>
      <c r="I9" s="1683"/>
      <c r="J9" s="1690"/>
      <c r="K9" s="22"/>
      <c r="L9" s="527" t="s">
        <v>261</v>
      </c>
      <c r="M9" s="469">
        <f>'Input Data'!G28</f>
        <v>0</v>
      </c>
      <c r="N9" s="373" t="s">
        <v>394</v>
      </c>
      <c r="O9" s="469">
        <f>'Input Data'!G29</f>
        <v>0</v>
      </c>
      <c r="P9" s="373" t="s">
        <v>263</v>
      </c>
      <c r="Q9" s="476">
        <f>'Input Data'!G30</f>
        <v>0</v>
      </c>
      <c r="R9" s="130"/>
    </row>
    <row r="10" spans="1:18" ht="20.100000000000001" customHeight="1" thickBot="1" x14ac:dyDescent="0.25">
      <c r="A10" s="530" t="s">
        <v>264</v>
      </c>
      <c r="B10" s="1691">
        <f>'Input Data'!G4</f>
        <v>0</v>
      </c>
      <c r="C10" s="1692"/>
      <c r="D10" s="1692"/>
      <c r="E10" s="1692"/>
      <c r="F10" s="1692"/>
      <c r="G10" s="1692"/>
      <c r="H10" s="1693"/>
      <c r="I10" s="374" t="s">
        <v>163</v>
      </c>
      <c r="J10" s="1696">
        <f>'Input Data'!G5</f>
        <v>0</v>
      </c>
      <c r="K10" s="1697"/>
      <c r="L10" s="526" t="s">
        <v>182</v>
      </c>
      <c r="M10" s="466">
        <f>'Input Data'!G6</f>
        <v>0</v>
      </c>
      <c r="N10" s="614" t="s">
        <v>265</v>
      </c>
      <c r="O10" s="1680">
        <f>'Input Data'!G8</f>
        <v>0</v>
      </c>
      <c r="P10" s="1681"/>
      <c r="Q10" s="1644"/>
      <c r="R10" s="130"/>
    </row>
    <row r="11" spans="1:18" ht="23.25" customHeight="1" thickTop="1" x14ac:dyDescent="0.2">
      <c r="A11" s="514" t="s">
        <v>334</v>
      </c>
      <c r="B11" s="487"/>
      <c r="C11" s="488"/>
      <c r="D11" s="488"/>
      <c r="E11" s="488"/>
      <c r="F11" s="488"/>
      <c r="G11" s="488"/>
      <c r="H11" s="488"/>
      <c r="I11" s="488"/>
      <c r="J11" s="624"/>
      <c r="K11" s="625"/>
      <c r="L11" s="489"/>
      <c r="M11" s="490"/>
      <c r="N11" s="491"/>
      <c r="O11" s="486"/>
      <c r="P11" s="488"/>
      <c r="Q11" s="542"/>
      <c r="R11" s="130"/>
    </row>
    <row r="12" spans="1:18" ht="20.100000000000001" customHeight="1" x14ac:dyDescent="0.2">
      <c r="A12" s="386" t="s">
        <v>393</v>
      </c>
      <c r="B12" s="1673">
        <f>'Input Data'!D12</f>
        <v>0</v>
      </c>
      <c r="C12" s="1674"/>
      <c r="D12" s="1674"/>
      <c r="E12" s="1674"/>
      <c r="F12" s="1674"/>
      <c r="G12" s="1674"/>
      <c r="H12" s="1674"/>
      <c r="I12" s="1674"/>
      <c r="J12" s="1674"/>
      <c r="K12" s="1674"/>
      <c r="L12" s="1674"/>
      <c r="M12" s="1674"/>
      <c r="N12" s="1674"/>
      <c r="O12" s="492" t="s">
        <v>253</v>
      </c>
      <c r="P12" s="1664">
        <f>'Input Data'!D30</f>
        <v>0</v>
      </c>
      <c r="Q12" s="1650"/>
      <c r="R12" s="130"/>
    </row>
    <row r="13" spans="1:18" ht="20.100000000000001" customHeight="1" x14ac:dyDescent="0.2">
      <c r="A13" s="31" t="s">
        <v>159</v>
      </c>
      <c r="B13" s="1662">
        <f>'Input Data'!D13</f>
        <v>0</v>
      </c>
      <c r="C13" s="1636"/>
      <c r="D13" s="1636"/>
      <c r="E13" s="1636"/>
      <c r="F13" s="1636"/>
      <c r="G13" s="1636"/>
      <c r="H13" s="1636"/>
      <c r="I13" s="1636"/>
      <c r="J13" s="1636"/>
      <c r="K13" s="1636"/>
      <c r="L13" s="1636"/>
      <c r="M13" s="1636"/>
      <c r="N13" s="1636"/>
      <c r="O13" s="1636"/>
      <c r="P13" s="372" t="s">
        <v>374</v>
      </c>
      <c r="Q13" s="603">
        <f>'Input Data'!H13</f>
        <v>0</v>
      </c>
      <c r="R13" s="130"/>
    </row>
    <row r="14" spans="1:18" ht="20.100000000000001" customHeight="1" x14ac:dyDescent="0.2">
      <c r="A14" s="31" t="s">
        <v>375</v>
      </c>
      <c r="B14" s="1662">
        <f>'Input Data'!D14</f>
        <v>0</v>
      </c>
      <c r="C14" s="1636"/>
      <c r="D14" s="1636"/>
      <c r="E14" s="1636"/>
      <c r="F14" s="1636"/>
      <c r="G14" s="1636"/>
      <c r="H14" s="1636"/>
      <c r="I14" s="1636"/>
      <c r="J14" s="1636"/>
      <c r="K14" s="1636"/>
      <c r="L14" s="1636"/>
      <c r="M14" s="1636"/>
      <c r="N14" s="1636"/>
      <c r="O14" s="1695"/>
      <c r="P14" s="373" t="s">
        <v>374</v>
      </c>
      <c r="Q14" s="604">
        <f>'Input Data'!H14</f>
        <v>0</v>
      </c>
      <c r="R14" s="130"/>
    </row>
    <row r="15" spans="1:18" ht="20.100000000000001" customHeight="1" x14ac:dyDescent="0.2">
      <c r="A15" s="400"/>
      <c r="B15" s="386" t="s">
        <v>112</v>
      </c>
      <c r="C15" s="1703">
        <f>IF('Input Data'!E17="None","NOT REGITERED FOR VAT",'Input Data'!E17)</f>
        <v>0</v>
      </c>
      <c r="D15" s="1704"/>
      <c r="E15" s="1704"/>
      <c r="F15" s="1704"/>
      <c r="G15" s="1704"/>
      <c r="H15" s="1704"/>
      <c r="I15" s="1704"/>
      <c r="J15" s="1704"/>
      <c r="K15" s="30"/>
      <c r="L15" s="22"/>
      <c r="M15" s="30"/>
      <c r="N15" s="468" t="s">
        <v>245</v>
      </c>
      <c r="O15" s="1662">
        <f>'Input Data'!D18</f>
        <v>0</v>
      </c>
      <c r="P15" s="1636"/>
      <c r="Q15" s="1702"/>
      <c r="R15" s="130"/>
    </row>
    <row r="16" spans="1:18" ht="20.100000000000001" customHeight="1" x14ac:dyDescent="0.2">
      <c r="A16" s="31" t="s">
        <v>29</v>
      </c>
      <c r="B16" s="605">
        <f>'Input Data'!D19</f>
        <v>0</v>
      </c>
      <c r="C16" s="397"/>
      <c r="D16" s="397"/>
      <c r="E16" s="397"/>
      <c r="F16" s="396"/>
      <c r="G16" s="396"/>
      <c r="H16" s="396"/>
      <c r="I16" s="396"/>
      <c r="J16" s="22"/>
      <c r="K16" s="30"/>
      <c r="L16" s="1694"/>
      <c r="M16" s="1655"/>
      <c r="N16" s="395"/>
      <c r="O16" s="22"/>
      <c r="P16" s="372" t="s">
        <v>266</v>
      </c>
      <c r="Q16" s="475">
        <f>'Input Data'!F15</f>
        <v>0</v>
      </c>
      <c r="R16" s="130"/>
    </row>
    <row r="17" spans="1:18" ht="20.100000000000001" customHeight="1" x14ac:dyDescent="0.2">
      <c r="A17" s="371" t="s">
        <v>331</v>
      </c>
      <c r="B17" s="1662">
        <f>'Input Data'!D29</f>
        <v>0</v>
      </c>
      <c r="C17" s="1636"/>
      <c r="D17" s="1636"/>
      <c r="E17" s="1636"/>
      <c r="F17" s="1636"/>
      <c r="G17" s="1636"/>
      <c r="H17" s="1636"/>
      <c r="I17" s="1636"/>
      <c r="J17" s="30"/>
      <c r="K17" s="372"/>
      <c r="L17" s="30"/>
      <c r="M17" s="372" t="s">
        <v>261</v>
      </c>
      <c r="N17" s="1662">
        <f>'Input Data'!D15</f>
        <v>0</v>
      </c>
      <c r="O17" s="1636"/>
      <c r="P17" s="372" t="s">
        <v>262</v>
      </c>
      <c r="Q17" s="475">
        <f>'Input Data'!H15</f>
        <v>0</v>
      </c>
      <c r="R17" s="130"/>
    </row>
    <row r="18" spans="1:18" ht="20.100000000000001" customHeight="1" thickBot="1" x14ac:dyDescent="0.25">
      <c r="A18" s="384" t="s">
        <v>30</v>
      </c>
      <c r="B18" s="32"/>
      <c r="C18" s="1705" t="str">
        <f>'Input Data'!D25</f>
        <v>USE TIME BASED FEES</v>
      </c>
      <c r="D18" s="1706"/>
      <c r="E18" s="1706"/>
      <c r="F18" s="1706"/>
      <c r="G18" s="1706"/>
      <c r="H18" s="1706"/>
      <c r="I18" s="1706"/>
      <c r="J18" s="32"/>
      <c r="K18" s="370"/>
      <c r="L18" s="370"/>
      <c r="M18" s="454"/>
      <c r="N18" s="454" t="s">
        <v>265</v>
      </c>
      <c r="O18" s="1747">
        <f>'Input Data'!D16</f>
        <v>0</v>
      </c>
      <c r="P18" s="1748"/>
      <c r="Q18" s="1749"/>
      <c r="R18" s="130"/>
    </row>
    <row r="19" spans="1:18" ht="24.75" customHeight="1" thickTop="1" thickBot="1" x14ac:dyDescent="0.25">
      <c r="A19" s="376" t="str">
        <f>IF('Input Data'!$F$31&gt;4,"STAGE:","STAGE COMPLETED:")</f>
        <v>STAGE COMPLETED:</v>
      </c>
      <c r="B19" s="1745" t="str">
        <f>'Input Data'!D31</f>
        <v>INCEPTION</v>
      </c>
      <c r="C19" s="1746"/>
      <c r="D19" s="1746"/>
      <c r="E19" s="1746"/>
      <c r="F19" s="1746"/>
      <c r="G19" s="1746"/>
      <c r="H19" s="1746"/>
      <c r="I19" s="1746"/>
      <c r="J19" s="1746"/>
      <c r="K19" s="1746"/>
      <c r="L19" s="1742" t="str">
        <f>IF('Input Data'!$E$38=1,"ESTIMATED TOTAL VALUE OF ENGINEERING WORK","TOTAL VALUE OF ENGINEERING WORK")</f>
        <v>ESTIMATED TOTAL VALUE OF ENGINEERING WORK</v>
      </c>
      <c r="M19" s="1743"/>
      <c r="N19" s="1743"/>
      <c r="O19" s="1743"/>
      <c r="P19" s="1744"/>
      <c r="Q19" s="1107">
        <f>IF('Input Data'!E38&lt;2,0.8*'Input Data'!H48,'Input Data'!H48)</f>
        <v>0</v>
      </c>
      <c r="R19" s="130"/>
    </row>
    <row r="20" spans="1:18" ht="23.25" customHeight="1" thickTop="1" thickBot="1" x14ac:dyDescent="0.25">
      <c r="A20" s="1700" t="s">
        <v>228</v>
      </c>
      <c r="B20" s="1701"/>
      <c r="C20" s="1701"/>
      <c r="D20" s="1701"/>
      <c r="E20" s="1701"/>
      <c r="F20" s="1701"/>
      <c r="G20" s="1701"/>
      <c r="H20" s="1701"/>
      <c r="I20" s="1701"/>
      <c r="J20" s="1688">
        <f>IF('Input Data'!E38&lt;2,0.8*'Input Data'!H50,'Input Data'!H50)</f>
        <v>0</v>
      </c>
      <c r="K20" s="1689"/>
      <c r="L20" s="1698" t="str">
        <f>IF('Input Data'!$E$38=1,"ESTIMATED TOTAL VALUE OF PROJECT","TOTAL VALUE OF PROJECT")</f>
        <v>ESTIMATED TOTAL VALUE OF PROJECT</v>
      </c>
      <c r="M20" s="1699"/>
      <c r="N20" s="1699"/>
      <c r="O20" s="1699"/>
      <c r="P20" s="1699"/>
      <c r="Q20" s="1108">
        <f>IF('Input Data'!E38&lt;2,0.8*'Input Data'!H51,'Input Data'!H51)</f>
        <v>0</v>
      </c>
      <c r="R20" s="130"/>
    </row>
    <row r="21" spans="1:18" ht="22.5" customHeight="1" thickTop="1" x14ac:dyDescent="0.2">
      <c r="A21" s="34" t="s">
        <v>317</v>
      </c>
      <c r="B21" s="35"/>
      <c r="C21" s="35"/>
      <c r="D21" s="35"/>
      <c r="E21" s="35"/>
      <c r="F21" s="35"/>
      <c r="G21" s="35"/>
      <c r="H21" s="35"/>
      <c r="I21" s="35"/>
      <c r="J21" s="35"/>
      <c r="K21" s="35"/>
      <c r="L21" s="35"/>
      <c r="M21" s="35"/>
      <c r="N21" s="35"/>
      <c r="O21" s="35"/>
      <c r="P21" s="35"/>
      <c r="Q21" s="36"/>
      <c r="R21" s="130"/>
    </row>
    <row r="22" spans="1:18" ht="12" customHeight="1" x14ac:dyDescent="0.2">
      <c r="A22" s="45"/>
      <c r="B22" s="19"/>
      <c r="C22" s="20"/>
      <c r="D22" s="46"/>
      <c r="E22" s="46"/>
      <c r="F22" s="46"/>
      <c r="G22" s="46"/>
      <c r="H22" s="46"/>
      <c r="I22" s="20"/>
      <c r="J22" s="20"/>
      <c r="K22" s="47"/>
      <c r="L22" s="26"/>
      <c r="M22" s="49"/>
      <c r="N22" s="41"/>
      <c r="O22" s="26"/>
      <c r="P22" s="26"/>
      <c r="Q22" s="461"/>
      <c r="R22" s="130"/>
    </row>
    <row r="23" spans="1:18" x14ac:dyDescent="0.2">
      <c r="A23" s="1654" t="s">
        <v>173</v>
      </c>
      <c r="B23" s="1655"/>
      <c r="C23" s="1655"/>
      <c r="D23" s="1655"/>
      <c r="E23" s="1655"/>
      <c r="F23" s="1655"/>
      <c r="G23" s="1655"/>
      <c r="H23" s="1655"/>
      <c r="I23" s="1655"/>
      <c r="J23" s="1655"/>
      <c r="K23" s="1655"/>
      <c r="L23" s="1655"/>
      <c r="M23" s="1655"/>
      <c r="N23" s="30"/>
      <c r="O23" s="30"/>
      <c r="P23" s="30"/>
      <c r="Q23" s="812">
        <f>Q120</f>
        <v>0</v>
      </c>
      <c r="R23" s="130"/>
    </row>
    <row r="24" spans="1:18" ht="8.25" customHeight="1" x14ac:dyDescent="0.2">
      <c r="A24" s="64"/>
      <c r="B24" s="65"/>
      <c r="C24" s="19"/>
      <c r="D24" s="19"/>
      <c r="E24" s="19"/>
      <c r="F24" s="19"/>
      <c r="G24" s="30"/>
      <c r="H24" s="30"/>
      <c r="I24" s="30"/>
      <c r="J24" s="30"/>
      <c r="K24" s="30"/>
      <c r="L24" s="30"/>
      <c r="M24" s="30"/>
      <c r="N24" s="30"/>
      <c r="O24" s="30"/>
      <c r="P24" s="30"/>
      <c r="Q24" s="812"/>
      <c r="R24" s="130"/>
    </row>
    <row r="25" spans="1:18" ht="16.5" customHeight="1" x14ac:dyDescent="0.2">
      <c r="A25" s="1725" t="s">
        <v>129</v>
      </c>
      <c r="B25" s="1655"/>
      <c r="C25" s="1655"/>
      <c r="D25" s="1655"/>
      <c r="E25" s="1655"/>
      <c r="F25" s="1655"/>
      <c r="G25" s="1655"/>
      <c r="H25" s="1655"/>
      <c r="I25" s="1655"/>
      <c r="J25" s="1655"/>
      <c r="K25" s="1655"/>
      <c r="L25" s="1655"/>
      <c r="M25" s="1655"/>
      <c r="N25" s="1655"/>
      <c r="O25" s="30"/>
      <c r="P25" s="30"/>
      <c r="Q25" s="812">
        <f>Q123</f>
        <v>0</v>
      </c>
      <c r="R25" s="130"/>
    </row>
    <row r="26" spans="1:18" ht="12.75" customHeight="1" x14ac:dyDescent="0.2">
      <c r="A26" s="451"/>
      <c r="B26" s="399"/>
      <c r="C26" s="399"/>
      <c r="D26" s="399"/>
      <c r="E26" s="4"/>
      <c r="F26" s="4"/>
      <c r="G26" s="30"/>
      <c r="H26" s="30"/>
      <c r="I26" s="30"/>
      <c r="J26" s="30"/>
      <c r="K26" s="30"/>
      <c r="L26" s="30"/>
      <c r="M26" s="30"/>
      <c r="N26" s="30"/>
      <c r="O26" s="30"/>
      <c r="P26" s="30"/>
      <c r="Q26" s="812"/>
      <c r="R26" s="130"/>
    </row>
    <row r="27" spans="1:18" ht="15.75" customHeight="1" x14ac:dyDescent="0.2">
      <c r="A27" s="1661" t="s">
        <v>174</v>
      </c>
      <c r="B27" s="1655"/>
      <c r="C27" s="1655"/>
      <c r="D27" s="1655"/>
      <c r="E27" s="1655"/>
      <c r="F27" s="1655"/>
      <c r="G27" s="1655"/>
      <c r="H27" s="1655"/>
      <c r="I27" s="1655"/>
      <c r="J27" s="1655"/>
      <c r="K27" s="1655"/>
      <c r="L27" s="1655"/>
      <c r="M27" s="1655"/>
      <c r="N27" s="1655"/>
      <c r="O27" s="30"/>
      <c r="P27" s="30"/>
      <c r="Q27" s="812">
        <f>Q126</f>
        <v>0</v>
      </c>
      <c r="R27" s="130"/>
    </row>
    <row r="28" spans="1:18" ht="12.75" customHeight="1" x14ac:dyDescent="0.2">
      <c r="A28" s="400"/>
      <c r="B28" s="30"/>
      <c r="C28" s="30"/>
      <c r="D28" s="30"/>
      <c r="E28" s="19"/>
      <c r="F28" s="19"/>
      <c r="G28" s="30"/>
      <c r="H28" s="30"/>
      <c r="I28" s="30"/>
      <c r="J28" s="30"/>
      <c r="K28" s="30"/>
      <c r="L28" s="30"/>
      <c r="M28" s="30"/>
      <c r="N28" s="30"/>
      <c r="O28" s="30"/>
      <c r="P28" s="30"/>
      <c r="Q28" s="812"/>
      <c r="R28" s="130"/>
    </row>
    <row r="29" spans="1:18" ht="18.75" customHeight="1" x14ac:dyDescent="0.2">
      <c r="A29" s="1661" t="s">
        <v>175</v>
      </c>
      <c r="B29" s="1655"/>
      <c r="C29" s="1655"/>
      <c r="D29" s="1655"/>
      <c r="E29" s="1655"/>
      <c r="F29" s="1655"/>
      <c r="G29" s="1655"/>
      <c r="H29" s="1655"/>
      <c r="I29" s="1655"/>
      <c r="J29" s="1655"/>
      <c r="K29" s="1655"/>
      <c r="L29" s="1655"/>
      <c r="M29" s="1655"/>
      <c r="N29" s="1655"/>
      <c r="O29" s="30"/>
      <c r="P29" s="30"/>
      <c r="Q29" s="812">
        <f>Q129</f>
        <v>0</v>
      </c>
      <c r="R29" s="130"/>
    </row>
    <row r="30" spans="1:18" ht="12" customHeight="1" x14ac:dyDescent="0.2">
      <c r="A30" s="400"/>
      <c r="B30" s="30"/>
      <c r="C30" s="30"/>
      <c r="D30" s="30"/>
      <c r="E30" s="30"/>
      <c r="F30" s="30"/>
      <c r="G30" s="30"/>
      <c r="H30" s="30"/>
      <c r="I30" s="30"/>
      <c r="J30" s="30"/>
      <c r="K30" s="30"/>
      <c r="L30" s="30"/>
      <c r="M30" s="30"/>
      <c r="N30" s="30"/>
      <c r="O30" s="30"/>
      <c r="P30" s="30"/>
      <c r="Q30" s="812"/>
      <c r="R30" s="130"/>
    </row>
    <row r="31" spans="1:18" ht="22.5" customHeight="1" x14ac:dyDescent="0.2">
      <c r="A31" s="1725" t="s">
        <v>144</v>
      </c>
      <c r="B31" s="1655"/>
      <c r="C31" s="1655"/>
      <c r="D31" s="1655"/>
      <c r="E31" s="1655"/>
      <c r="F31" s="1655"/>
      <c r="G31" s="1655"/>
      <c r="H31" s="1655"/>
      <c r="I31" s="1655"/>
      <c r="J31" s="1655"/>
      <c r="K31" s="1655"/>
      <c r="L31" s="1655"/>
      <c r="M31" s="1655"/>
      <c r="N31" s="1655"/>
      <c r="O31" s="30"/>
      <c r="P31" s="30"/>
      <c r="Q31" s="812">
        <f>Q132</f>
        <v>0</v>
      </c>
      <c r="R31" s="130"/>
    </row>
    <row r="32" spans="1:18" ht="8.25" customHeight="1" x14ac:dyDescent="0.2">
      <c r="A32" s="6"/>
      <c r="B32" s="9"/>
      <c r="C32" s="9"/>
      <c r="D32" s="9"/>
      <c r="E32" s="401"/>
      <c r="F32" s="401"/>
      <c r="G32" s="30"/>
      <c r="H32" s="30"/>
      <c r="I32" s="30"/>
      <c r="J32" s="30"/>
      <c r="K32" s="30"/>
      <c r="L32" s="30"/>
      <c r="M32" s="30"/>
      <c r="N32" s="30"/>
      <c r="O32" s="30"/>
      <c r="P32" s="30"/>
      <c r="Q32" s="812"/>
      <c r="R32" s="130"/>
    </row>
    <row r="33" spans="1:18" ht="16.5" customHeight="1" x14ac:dyDescent="0.2">
      <c r="A33" s="1725" t="s">
        <v>145</v>
      </c>
      <c r="B33" s="1655"/>
      <c r="C33" s="1655"/>
      <c r="D33" s="1655"/>
      <c r="E33" s="1655"/>
      <c r="F33" s="1655"/>
      <c r="G33" s="1655"/>
      <c r="H33" s="1655"/>
      <c r="I33" s="1655"/>
      <c r="J33" s="1655"/>
      <c r="K33" s="1655"/>
      <c r="L33" s="1655"/>
      <c r="M33" s="1655"/>
      <c r="N33" s="1655"/>
      <c r="O33" s="30"/>
      <c r="P33" s="30"/>
      <c r="Q33" s="812">
        <f>Q135</f>
        <v>0</v>
      </c>
      <c r="R33" s="130"/>
    </row>
    <row r="34" spans="1:18" ht="9" customHeight="1" x14ac:dyDescent="0.2">
      <c r="A34" s="6"/>
      <c r="B34" s="9"/>
      <c r="C34" s="9"/>
      <c r="D34" s="9"/>
      <c r="E34" s="401"/>
      <c r="F34" s="401"/>
      <c r="G34" s="30"/>
      <c r="H34" s="30"/>
      <c r="I34" s="30"/>
      <c r="J34" s="30"/>
      <c r="K34" s="30"/>
      <c r="L34" s="30"/>
      <c r="M34" s="30"/>
      <c r="N34" s="30"/>
      <c r="O34" s="30"/>
      <c r="P34" s="30"/>
      <c r="Q34" s="812"/>
      <c r="R34" s="130"/>
    </row>
    <row r="35" spans="1:18" ht="18.75" customHeight="1" x14ac:dyDescent="0.2">
      <c r="A35" s="1725" t="s">
        <v>127</v>
      </c>
      <c r="B35" s="1655"/>
      <c r="C35" s="1655"/>
      <c r="D35" s="1655"/>
      <c r="E35" s="1655"/>
      <c r="F35" s="1655"/>
      <c r="G35" s="1655"/>
      <c r="H35" s="1655"/>
      <c r="I35" s="1655"/>
      <c r="J35" s="1655"/>
      <c r="K35" s="1655"/>
      <c r="L35" s="1655"/>
      <c r="M35" s="1655"/>
      <c r="N35" s="1655"/>
      <c r="O35" s="30"/>
      <c r="P35" s="30"/>
      <c r="Q35" s="812">
        <f>Q138</f>
        <v>0</v>
      </c>
      <c r="R35" s="130"/>
    </row>
    <row r="36" spans="1:18" ht="8.25" customHeight="1" x14ac:dyDescent="0.2">
      <c r="A36" s="451"/>
      <c r="B36" s="399"/>
      <c r="C36" s="399"/>
      <c r="D36" s="399"/>
      <c r="E36" s="30"/>
      <c r="F36" s="30"/>
      <c r="G36" s="30"/>
      <c r="H36" s="30"/>
      <c r="I36" s="30"/>
      <c r="J36" s="30"/>
      <c r="K36" s="30"/>
      <c r="L36" s="30"/>
      <c r="M36" s="30"/>
      <c r="N36" s="30"/>
      <c r="O36" s="30"/>
      <c r="P36" s="30"/>
      <c r="Q36" s="812"/>
      <c r="R36" s="130"/>
    </row>
    <row r="37" spans="1:18" ht="15.95" customHeight="1" thickBot="1" x14ac:dyDescent="0.25">
      <c r="A37" s="1725" t="s">
        <v>146</v>
      </c>
      <c r="B37" s="1655"/>
      <c r="C37" s="1655"/>
      <c r="D37" s="1655"/>
      <c r="E37" s="1655"/>
      <c r="F37" s="1655"/>
      <c r="G37" s="1655"/>
      <c r="H37" s="1655"/>
      <c r="I37" s="1655"/>
      <c r="J37" s="1655"/>
      <c r="K37" s="1655"/>
      <c r="L37" s="1655"/>
      <c r="M37" s="1655"/>
      <c r="N37" s="1655"/>
      <c r="O37" s="30"/>
      <c r="P37" s="30"/>
      <c r="Q37" s="813">
        <f>Q141</f>
        <v>0</v>
      </c>
      <c r="R37" s="130"/>
    </row>
    <row r="38" spans="1:18" ht="24" customHeight="1" thickBot="1" x14ac:dyDescent="0.25">
      <c r="A38" s="462"/>
      <c r="B38" s="463"/>
      <c r="C38" s="463"/>
      <c r="D38" s="463"/>
      <c r="E38" s="33"/>
      <c r="F38" s="33"/>
      <c r="G38" s="33"/>
      <c r="H38" s="33"/>
      <c r="I38" s="33"/>
      <c r="J38" s="33"/>
      <c r="K38" s="33"/>
      <c r="L38" s="33"/>
      <c r="M38" s="33"/>
      <c r="N38" s="33"/>
      <c r="O38" s="459" t="s">
        <v>164</v>
      </c>
      <c r="P38" s="33"/>
      <c r="Q38" s="814">
        <f>Q143</f>
        <v>0</v>
      </c>
      <c r="R38" s="130"/>
    </row>
    <row r="39" spans="1:18" ht="26.25" customHeight="1" thickTop="1" x14ac:dyDescent="0.2">
      <c r="A39" s="1724" t="s">
        <v>130</v>
      </c>
      <c r="B39" s="1655"/>
      <c r="C39" s="1655"/>
      <c r="D39" s="1655"/>
      <c r="E39" s="1655"/>
      <c r="F39" s="1655"/>
      <c r="G39" s="1655"/>
      <c r="H39" s="1655"/>
      <c r="I39" s="1655"/>
      <c r="J39" s="1655"/>
      <c r="K39" s="1655"/>
      <c r="L39" s="1655"/>
      <c r="M39" s="1655"/>
      <c r="N39" s="30"/>
      <c r="O39" s="30"/>
      <c r="P39" s="30"/>
      <c r="Q39" s="812"/>
      <c r="R39" s="130"/>
    </row>
    <row r="40" spans="1:18" ht="15.95" customHeight="1" x14ac:dyDescent="0.2">
      <c r="A40" s="45" t="s">
        <v>147</v>
      </c>
      <c r="B40" s="19"/>
      <c r="C40" s="50"/>
      <c r="D40" s="19"/>
      <c r="E40" s="19"/>
      <c r="F40" s="19"/>
      <c r="G40" s="19"/>
      <c r="H40" s="19"/>
      <c r="I40" s="30"/>
      <c r="J40" s="37"/>
      <c r="K40" s="30"/>
      <c r="L40" s="30"/>
      <c r="M40" s="30"/>
      <c r="N40" s="30"/>
      <c r="O40" s="30"/>
      <c r="P40" s="30"/>
      <c r="Q40" s="812">
        <f>Q146</f>
        <v>0</v>
      </c>
      <c r="R40" s="130"/>
    </row>
    <row r="41" spans="1:18" ht="8.25" customHeight="1" thickBot="1" x14ac:dyDescent="0.25">
      <c r="A41" s="124"/>
      <c r="B41" s="12"/>
      <c r="C41" s="86"/>
      <c r="D41" s="86"/>
      <c r="E41" s="86"/>
      <c r="F41" s="86"/>
      <c r="G41" s="86"/>
      <c r="H41" s="86"/>
      <c r="I41" s="134"/>
      <c r="J41" s="85"/>
      <c r="K41" s="478"/>
      <c r="L41" s="478"/>
      <c r="M41" s="478"/>
      <c r="N41" s="478"/>
      <c r="O41" s="478"/>
      <c r="P41" s="478"/>
      <c r="Q41" s="813"/>
      <c r="R41" s="130"/>
    </row>
    <row r="42" spans="1:18" ht="9" customHeight="1" x14ac:dyDescent="0.2">
      <c r="A42" s="64"/>
      <c r="B42" s="65"/>
      <c r="C42" s="19"/>
      <c r="D42" s="19"/>
      <c r="E42" s="19"/>
      <c r="F42" s="19"/>
      <c r="G42" s="19"/>
      <c r="H42" s="19"/>
      <c r="I42" s="66"/>
      <c r="J42" s="51"/>
      <c r="K42" s="30"/>
      <c r="L42" s="30"/>
      <c r="M42" s="30"/>
      <c r="N42" s="30"/>
      <c r="O42" s="30"/>
      <c r="P42" s="30"/>
      <c r="Q42" s="812"/>
      <c r="R42" s="130"/>
    </row>
    <row r="43" spans="1:18" ht="15.95" customHeight="1" x14ac:dyDescent="0.2">
      <c r="A43" s="16" t="s">
        <v>198</v>
      </c>
      <c r="B43" s="65"/>
      <c r="C43" s="19"/>
      <c r="D43" s="19"/>
      <c r="E43" s="19"/>
      <c r="F43" s="19"/>
      <c r="G43" s="19"/>
      <c r="H43" s="19"/>
      <c r="I43" s="19"/>
      <c r="J43" s="19"/>
      <c r="K43" s="30"/>
      <c r="L43" s="30"/>
      <c r="M43" s="30"/>
      <c r="N43" s="30"/>
      <c r="O43" s="30"/>
      <c r="P43" s="30"/>
      <c r="Q43" s="812">
        <f>Q150</f>
        <v>0</v>
      </c>
      <c r="R43" s="130"/>
    </row>
    <row r="44" spans="1:18" ht="8.25" customHeight="1" thickBot="1" x14ac:dyDescent="0.25">
      <c r="A44" s="11"/>
      <c r="B44" s="12"/>
      <c r="C44" s="134"/>
      <c r="D44" s="135"/>
      <c r="E44" s="135"/>
      <c r="F44" s="135"/>
      <c r="G44" s="135"/>
      <c r="H44" s="135"/>
      <c r="I44" s="165"/>
      <c r="J44" s="166"/>
      <c r="K44" s="478"/>
      <c r="L44" s="478"/>
      <c r="M44" s="478"/>
      <c r="N44" s="478"/>
      <c r="O44" s="478"/>
      <c r="P44" s="478"/>
      <c r="Q44" s="813"/>
      <c r="R44" s="130"/>
    </row>
    <row r="45" spans="1:18" ht="8.25" customHeight="1" x14ac:dyDescent="0.2">
      <c r="A45" s="17"/>
      <c r="B45" s="65"/>
      <c r="C45" s="66"/>
      <c r="D45" s="37"/>
      <c r="E45" s="37"/>
      <c r="F45" s="37"/>
      <c r="G45" s="37"/>
      <c r="H45" s="37"/>
      <c r="I45" s="38"/>
      <c r="J45" s="39"/>
      <c r="K45" s="30"/>
      <c r="L45" s="30"/>
      <c r="M45" s="30"/>
      <c r="N45" s="30"/>
      <c r="O45" s="30"/>
      <c r="P45" s="30"/>
      <c r="Q45" s="812"/>
      <c r="R45" s="130"/>
    </row>
    <row r="46" spans="1:18" ht="16.5" customHeight="1" x14ac:dyDescent="0.2">
      <c r="A46" s="473" t="s">
        <v>332</v>
      </c>
      <c r="B46" s="65"/>
      <c r="C46" s="66"/>
      <c r="D46" s="37"/>
      <c r="E46" s="37"/>
      <c r="F46" s="37"/>
      <c r="G46" s="37"/>
      <c r="H46" s="37"/>
      <c r="I46" s="38"/>
      <c r="J46" s="39"/>
      <c r="K46" s="30"/>
      <c r="L46" s="30"/>
      <c r="M46" s="30"/>
      <c r="N46" s="30"/>
      <c r="O46" s="30"/>
      <c r="P46" s="30"/>
      <c r="Q46" s="812">
        <f>Q153</f>
        <v>0</v>
      </c>
      <c r="R46" s="130"/>
    </row>
    <row r="47" spans="1:18" ht="9" customHeight="1" thickBot="1" x14ac:dyDescent="0.25">
      <c r="A47" s="1750"/>
      <c r="B47" s="1751"/>
      <c r="C47" s="1751"/>
      <c r="D47" s="1751"/>
      <c r="E47" s="1751"/>
      <c r="F47" s="1751"/>
      <c r="G47" s="1751"/>
      <c r="H47" s="1751"/>
      <c r="I47" s="1751"/>
      <c r="J47" s="1751"/>
      <c r="K47" s="1751"/>
      <c r="L47" s="1751"/>
      <c r="M47" s="1751"/>
      <c r="N47" s="1751"/>
      <c r="O47" s="1751"/>
      <c r="P47" s="1751"/>
      <c r="Q47" s="815"/>
      <c r="R47" s="130"/>
    </row>
    <row r="48" spans="1:18" ht="15.95" customHeight="1" thickTop="1" thickBot="1" x14ac:dyDescent="0.25">
      <c r="A48" s="440"/>
      <c r="B48" s="441"/>
      <c r="C48" s="442"/>
      <c r="D48" s="441"/>
      <c r="E48" s="441"/>
      <c r="F48" s="441"/>
      <c r="G48" s="443"/>
      <c r="H48" s="441"/>
      <c r="I48" s="441"/>
      <c r="J48" s="441"/>
      <c r="K48" s="444"/>
      <c r="L48" s="444"/>
      <c r="M48" s="442"/>
      <c r="N48" s="442"/>
      <c r="O48" s="442"/>
      <c r="P48" s="439" t="s">
        <v>319</v>
      </c>
      <c r="Q48" s="814">
        <f>Q155</f>
        <v>0</v>
      </c>
      <c r="R48" s="130"/>
    </row>
    <row r="49" spans="1:18" ht="7.5" customHeight="1" thickTop="1" x14ac:dyDescent="0.2">
      <c r="A49" s="400"/>
      <c r="B49" s="30"/>
      <c r="C49" s="30"/>
      <c r="D49" s="30"/>
      <c r="E49" s="30"/>
      <c r="F49" s="30"/>
      <c r="G49" s="30"/>
      <c r="H49" s="30"/>
      <c r="I49" s="30"/>
      <c r="J49" s="30"/>
      <c r="K49" s="30"/>
      <c r="L49" s="30"/>
      <c r="M49" s="30"/>
      <c r="N49" s="30"/>
      <c r="O49" s="30"/>
      <c r="P49" s="30"/>
      <c r="Q49" s="812"/>
      <c r="R49" s="130"/>
    </row>
    <row r="50" spans="1:18" ht="15.95" customHeight="1" x14ac:dyDescent="0.2">
      <c r="A50" s="83" t="s">
        <v>318</v>
      </c>
      <c r="B50" s="65"/>
      <c r="C50" s="65"/>
      <c r="D50" s="30"/>
      <c r="E50" s="30"/>
      <c r="F50" s="30"/>
      <c r="G50" s="30"/>
      <c r="H50" s="30"/>
      <c r="I50" s="30"/>
      <c r="J50" s="30"/>
      <c r="K50" s="30"/>
      <c r="L50" s="30"/>
      <c r="M50" s="30"/>
      <c r="N50" s="30"/>
      <c r="O50" s="30"/>
      <c r="P50" s="30"/>
      <c r="Q50" s="812"/>
      <c r="R50" s="130"/>
    </row>
    <row r="51" spans="1:18" ht="9" customHeight="1" x14ac:dyDescent="0.2">
      <c r="A51" s="83"/>
      <c r="B51" s="65"/>
      <c r="C51" s="65"/>
      <c r="D51" s="30"/>
      <c r="E51" s="30"/>
      <c r="F51" s="30"/>
      <c r="G51" s="30"/>
      <c r="H51" s="30"/>
      <c r="I51" s="30"/>
      <c r="J51" s="30"/>
      <c r="K51" s="30"/>
      <c r="L51" s="30"/>
      <c r="M51" s="30"/>
      <c r="N51" s="30"/>
      <c r="O51" s="30"/>
      <c r="P51" s="30"/>
      <c r="Q51" s="812"/>
      <c r="R51" s="130"/>
    </row>
    <row r="52" spans="1:18" ht="15.95" customHeight="1" x14ac:dyDescent="0.2">
      <c r="A52" s="1654" t="s">
        <v>173</v>
      </c>
      <c r="B52" s="1655"/>
      <c r="C52" s="1655"/>
      <c r="D52" s="1655"/>
      <c r="E52" s="1655"/>
      <c r="F52" s="1655"/>
      <c r="G52" s="1655"/>
      <c r="H52" s="1655"/>
      <c r="I52" s="1655"/>
      <c r="J52" s="1655"/>
      <c r="K52" s="1655"/>
      <c r="L52" s="1655"/>
      <c r="M52" s="1655"/>
      <c r="N52" s="1655"/>
      <c r="O52" s="30"/>
      <c r="P52" s="30"/>
      <c r="Q52" s="812">
        <f>Q157</f>
        <v>0</v>
      </c>
      <c r="R52" s="130"/>
    </row>
    <row r="53" spans="1:18" ht="9" customHeight="1" x14ac:dyDescent="0.2">
      <c r="A53" s="400"/>
      <c r="B53" s="30"/>
      <c r="C53" s="30"/>
      <c r="D53" s="30"/>
      <c r="E53" s="30"/>
      <c r="F53" s="30"/>
      <c r="G53" s="30"/>
      <c r="H53" s="30"/>
      <c r="I53" s="30"/>
      <c r="J53" s="30"/>
      <c r="K53" s="30"/>
      <c r="L53" s="30"/>
      <c r="M53" s="30"/>
      <c r="N53" s="30"/>
      <c r="O53" s="30"/>
      <c r="P53" s="30"/>
      <c r="Q53" s="812"/>
      <c r="R53" s="130"/>
    </row>
    <row r="54" spans="1:18" ht="15.95" customHeight="1" thickBot="1" x14ac:dyDescent="0.25">
      <c r="A54" s="1661" t="s">
        <v>123</v>
      </c>
      <c r="B54" s="1655"/>
      <c r="C54" s="1655"/>
      <c r="D54" s="1655"/>
      <c r="E54" s="1655"/>
      <c r="F54" s="1655"/>
      <c r="G54" s="1655"/>
      <c r="H54" s="1655"/>
      <c r="I54" s="1655"/>
      <c r="J54" s="1655"/>
      <c r="K54" s="1655"/>
      <c r="L54" s="1655"/>
      <c r="M54" s="1655"/>
      <c r="N54" s="1655"/>
      <c r="O54" s="30"/>
      <c r="P54" s="30"/>
      <c r="Q54" s="813">
        <f>Q160</f>
        <v>0</v>
      </c>
      <c r="R54" s="130"/>
    </row>
    <row r="55" spans="1:18" ht="15.95" customHeight="1" thickBot="1" x14ac:dyDescent="0.25">
      <c r="A55" s="404"/>
      <c r="B55" s="405"/>
      <c r="C55" s="405"/>
      <c r="D55" s="478"/>
      <c r="E55" s="478"/>
      <c r="F55" s="478"/>
      <c r="G55" s="478"/>
      <c r="H55" s="478"/>
      <c r="I55" s="478"/>
      <c r="J55" s="478"/>
      <c r="K55" s="478"/>
      <c r="L55" s="478"/>
      <c r="M55" s="478"/>
      <c r="N55" s="478"/>
      <c r="O55" s="429" t="s">
        <v>164</v>
      </c>
      <c r="P55" s="478"/>
      <c r="Q55" s="816">
        <f>Q162</f>
        <v>0</v>
      </c>
      <c r="R55" s="130"/>
    </row>
    <row r="56" spans="1:18" ht="15.95" customHeight="1" x14ac:dyDescent="0.2">
      <c r="A56" s="455" t="s">
        <v>130</v>
      </c>
      <c r="B56" s="456"/>
      <c r="C56" s="456"/>
      <c r="D56" s="30"/>
      <c r="E56" s="30"/>
      <c r="F56" s="30"/>
      <c r="G56" s="30"/>
      <c r="H56" s="30"/>
      <c r="I56" s="30"/>
      <c r="J56" s="30"/>
      <c r="K56" s="30"/>
      <c r="L56" s="30"/>
      <c r="M56" s="30"/>
      <c r="N56" s="30"/>
      <c r="O56" s="30"/>
      <c r="P56" s="30"/>
      <c r="Q56" s="812"/>
      <c r="R56" s="130"/>
    </row>
    <row r="57" spans="1:18" ht="9" customHeight="1" x14ac:dyDescent="0.2">
      <c r="A57" s="7"/>
      <c r="B57" s="402"/>
      <c r="C57" s="402"/>
      <c r="D57" s="30"/>
      <c r="E57" s="30"/>
      <c r="F57" s="30"/>
      <c r="G57" s="30"/>
      <c r="H57" s="30"/>
      <c r="I57" s="30"/>
      <c r="J57" s="30"/>
      <c r="K57" s="30"/>
      <c r="L57" s="30"/>
      <c r="M57" s="30"/>
      <c r="N57" s="30"/>
      <c r="O57" s="30"/>
      <c r="P57" s="30"/>
      <c r="Q57" s="812"/>
      <c r="R57" s="130"/>
    </row>
    <row r="58" spans="1:18" ht="15.95" customHeight="1" x14ac:dyDescent="0.2">
      <c r="A58" s="45" t="s">
        <v>147</v>
      </c>
      <c r="B58" s="19"/>
      <c r="C58" s="50"/>
      <c r="D58" s="30"/>
      <c r="E58" s="30"/>
      <c r="F58" s="30"/>
      <c r="G58" s="30"/>
      <c r="H58" s="30"/>
      <c r="I58" s="30"/>
      <c r="J58" s="30"/>
      <c r="K58" s="30"/>
      <c r="L58" s="30"/>
      <c r="M58" s="30"/>
      <c r="N58" s="30"/>
      <c r="O58" s="30"/>
      <c r="P58" s="30"/>
      <c r="Q58" s="812">
        <f>Q165</f>
        <v>0</v>
      </c>
      <c r="R58" s="130"/>
    </row>
    <row r="59" spans="1:18" ht="9" customHeight="1" thickBot="1" x14ac:dyDescent="0.25">
      <c r="A59" s="124"/>
      <c r="B59" s="12"/>
      <c r="C59" s="86"/>
      <c r="D59" s="478"/>
      <c r="E59" s="478"/>
      <c r="F59" s="478"/>
      <c r="G59" s="478"/>
      <c r="H59" s="478"/>
      <c r="I59" s="478"/>
      <c r="J59" s="478"/>
      <c r="K59" s="478"/>
      <c r="L59" s="478"/>
      <c r="M59" s="478"/>
      <c r="N59" s="478"/>
      <c r="O59" s="478"/>
      <c r="P59" s="478"/>
      <c r="Q59" s="813"/>
      <c r="R59" s="130"/>
    </row>
    <row r="60" spans="1:18" ht="9" customHeight="1" x14ac:dyDescent="0.2">
      <c r="A60" s="64"/>
      <c r="B60" s="65"/>
      <c r="C60" s="19"/>
      <c r="D60" s="30"/>
      <c r="E60" s="30"/>
      <c r="F60" s="30"/>
      <c r="G60" s="30"/>
      <c r="H60" s="30"/>
      <c r="I60" s="30"/>
      <c r="J60" s="30"/>
      <c r="K60" s="30"/>
      <c r="L60" s="30"/>
      <c r="M60" s="30"/>
      <c r="N60" s="30"/>
      <c r="O60" s="30"/>
      <c r="P60" s="30"/>
      <c r="Q60" s="812"/>
      <c r="R60" s="130"/>
    </row>
    <row r="61" spans="1:18" ht="15.95" customHeight="1" x14ac:dyDescent="0.2">
      <c r="A61" s="430" t="s">
        <v>198</v>
      </c>
      <c r="B61" s="65"/>
      <c r="C61" s="19"/>
      <c r="D61" s="30"/>
      <c r="E61" s="30"/>
      <c r="F61" s="30"/>
      <c r="G61" s="30"/>
      <c r="H61" s="30"/>
      <c r="I61" s="30"/>
      <c r="J61" s="30"/>
      <c r="K61" s="30"/>
      <c r="L61" s="30"/>
      <c r="M61" s="30"/>
      <c r="N61" s="30"/>
      <c r="O61" s="30"/>
      <c r="P61" s="30"/>
      <c r="Q61" s="812">
        <f>Q169</f>
        <v>0</v>
      </c>
      <c r="R61" s="130"/>
    </row>
    <row r="62" spans="1:18" ht="10.5" customHeight="1" thickBot="1" x14ac:dyDescent="0.25">
      <c r="A62" s="11"/>
      <c r="B62" s="12"/>
      <c r="C62" s="86"/>
      <c r="D62" s="478"/>
      <c r="E62" s="478"/>
      <c r="F62" s="478"/>
      <c r="G62" s="478"/>
      <c r="H62" s="478"/>
      <c r="I62" s="478"/>
      <c r="J62" s="478"/>
      <c r="K62" s="478"/>
      <c r="L62" s="478"/>
      <c r="M62" s="478"/>
      <c r="N62" s="478"/>
      <c r="O62" s="478"/>
      <c r="P62" s="478"/>
      <c r="Q62" s="813"/>
      <c r="R62" s="130"/>
    </row>
    <row r="63" spans="1:18" ht="10.5" customHeight="1" x14ac:dyDescent="0.2">
      <c r="A63" s="431"/>
      <c r="B63" s="299"/>
      <c r="C63" s="292"/>
      <c r="D63" s="398"/>
      <c r="E63" s="398"/>
      <c r="F63" s="398"/>
      <c r="G63" s="398"/>
      <c r="H63" s="398"/>
      <c r="I63" s="398"/>
      <c r="J63" s="398"/>
      <c r="K63" s="398"/>
      <c r="L63" s="398"/>
      <c r="M63" s="398"/>
      <c r="N63" s="398"/>
      <c r="O63" s="398"/>
      <c r="P63" s="398"/>
      <c r="Q63" s="817"/>
      <c r="R63" s="130"/>
    </row>
    <row r="64" spans="1:18" ht="15.75" customHeight="1" x14ac:dyDescent="0.2">
      <c r="A64" s="473" t="s">
        <v>332</v>
      </c>
      <c r="B64" s="65"/>
      <c r="C64" s="19"/>
      <c r="D64" s="30"/>
      <c r="E64" s="30"/>
      <c r="F64" s="30"/>
      <c r="G64" s="30"/>
      <c r="H64" s="30"/>
      <c r="I64" s="30"/>
      <c r="J64" s="30"/>
      <c r="K64" s="30"/>
      <c r="L64" s="30"/>
      <c r="M64" s="30"/>
      <c r="N64" s="30"/>
      <c r="O64" s="30"/>
      <c r="P64" s="30"/>
      <c r="Q64" s="812">
        <f>Q172</f>
        <v>0</v>
      </c>
      <c r="R64" s="130"/>
    </row>
    <row r="65" spans="1:19" ht="15.95" customHeight="1" thickBot="1" x14ac:dyDescent="0.25">
      <c r="A65" s="477"/>
      <c r="B65" s="478"/>
      <c r="C65" s="460"/>
      <c r="D65" s="478"/>
      <c r="E65" s="478"/>
      <c r="F65" s="478"/>
      <c r="G65" s="478"/>
      <c r="H65" s="478"/>
      <c r="I65" s="478"/>
      <c r="J65" s="478"/>
      <c r="K65" s="478"/>
      <c r="L65" s="478"/>
      <c r="M65" s="478"/>
      <c r="N65" s="478"/>
      <c r="O65" s="479"/>
      <c r="P65" s="478"/>
      <c r="Q65" s="818"/>
      <c r="R65" s="130"/>
      <c r="S65" s="222"/>
    </row>
    <row r="66" spans="1:19" ht="15.95" customHeight="1" thickBot="1" x14ac:dyDescent="0.25">
      <c r="A66" s="445"/>
      <c r="B66" s="446"/>
      <c r="C66" s="33"/>
      <c r="D66" s="406"/>
      <c r="E66" s="406"/>
      <c r="F66" s="406"/>
      <c r="G66" s="406"/>
      <c r="H66" s="406"/>
      <c r="I66" s="406"/>
      <c r="J66" s="406"/>
      <c r="K66" s="406"/>
      <c r="L66" s="406"/>
      <c r="M66" s="406"/>
      <c r="N66" s="406"/>
      <c r="O66" s="450" t="s">
        <v>320</v>
      </c>
      <c r="P66" s="406"/>
      <c r="Q66" s="819">
        <f>Q174</f>
        <v>0</v>
      </c>
      <c r="R66" s="130"/>
    </row>
    <row r="67" spans="1:19" ht="9.75" customHeight="1" thickTop="1" x14ac:dyDescent="0.2">
      <c r="A67" s="431"/>
      <c r="B67" s="299"/>
      <c r="C67" s="292"/>
      <c r="D67" s="30"/>
      <c r="E67" s="30"/>
      <c r="F67" s="30"/>
      <c r="G67" s="30"/>
      <c r="H67" s="30"/>
      <c r="I67" s="30"/>
      <c r="J67" s="30"/>
      <c r="K67" s="30"/>
      <c r="L67" s="30"/>
      <c r="M67" s="30"/>
      <c r="N67" s="30"/>
      <c r="O67" s="30"/>
      <c r="P67" s="30"/>
      <c r="Q67" s="812"/>
      <c r="R67" s="130"/>
    </row>
    <row r="68" spans="1:19" ht="15.95" customHeight="1" x14ac:dyDescent="0.2">
      <c r="A68" s="433" t="s">
        <v>316</v>
      </c>
      <c r="B68" s="65"/>
      <c r="C68" s="19"/>
      <c r="D68" s="30"/>
      <c r="E68" s="30"/>
      <c r="F68" s="30"/>
      <c r="G68" s="30"/>
      <c r="H68" s="30"/>
      <c r="I68" s="30"/>
      <c r="J68" s="30"/>
      <c r="K68" s="30"/>
      <c r="L68" s="30"/>
      <c r="M68" s="30"/>
      <c r="N68" s="30"/>
      <c r="O68" s="30"/>
      <c r="P68" s="30"/>
      <c r="Q68" s="812">
        <f>Q176</f>
        <v>0</v>
      </c>
      <c r="R68" s="130"/>
    </row>
    <row r="69" spans="1:19" ht="9" customHeight="1" thickBot="1" x14ac:dyDescent="0.25">
      <c r="A69" s="11"/>
      <c r="B69" s="12"/>
      <c r="C69" s="86"/>
      <c r="D69" s="478"/>
      <c r="E69" s="478"/>
      <c r="F69" s="478"/>
      <c r="G69" s="478"/>
      <c r="H69" s="478"/>
      <c r="I69" s="478"/>
      <c r="J69" s="478"/>
      <c r="K69" s="478"/>
      <c r="L69" s="478"/>
      <c r="M69" s="478"/>
      <c r="N69" s="478"/>
      <c r="O69" s="478"/>
      <c r="P69" s="478"/>
      <c r="Q69" s="813"/>
      <c r="R69" s="130"/>
    </row>
    <row r="70" spans="1:19" ht="20.25" customHeight="1" thickBot="1" x14ac:dyDescent="0.25">
      <c r="A70" s="300"/>
      <c r="B70" s="14"/>
      <c r="C70" s="14"/>
      <c r="D70" s="30"/>
      <c r="E70" s="30"/>
      <c r="F70" s="30"/>
      <c r="G70" s="30"/>
      <c r="H70" s="30"/>
      <c r="I70" s="30"/>
      <c r="J70" s="30"/>
      <c r="K70" s="30"/>
      <c r="L70" s="30"/>
      <c r="M70" s="30"/>
      <c r="N70" s="30"/>
      <c r="O70" s="30"/>
      <c r="P70" s="450" t="s">
        <v>328</v>
      </c>
      <c r="Q70" s="820">
        <f>Q178</f>
        <v>0</v>
      </c>
      <c r="R70" s="130"/>
    </row>
    <row r="71" spans="1:19" ht="20.25" customHeight="1" thickTop="1" thickBot="1" x14ac:dyDescent="0.25">
      <c r="A71" s="424"/>
      <c r="B71" s="354"/>
      <c r="C71" s="354"/>
      <c r="D71" s="359"/>
      <c r="E71" s="434"/>
      <c r="F71" s="434"/>
      <c r="G71" s="357"/>
      <c r="H71" s="358"/>
      <c r="I71" s="434"/>
      <c r="J71" s="358"/>
      <c r="K71" s="435"/>
      <c r="L71" s="358"/>
      <c r="M71" s="358"/>
      <c r="N71" s="422" t="s">
        <v>238</v>
      </c>
      <c r="O71" s="606">
        <f>'Input Data'!$D$26/100</f>
        <v>1</v>
      </c>
      <c r="P71" s="607" t="s">
        <v>237</v>
      </c>
      <c r="Q71" s="821">
        <f>O71*Q178</f>
        <v>0</v>
      </c>
      <c r="R71" s="130"/>
    </row>
    <row r="72" spans="1:19" ht="20.25" customHeight="1" thickTop="1" thickBot="1" x14ac:dyDescent="0.25">
      <c r="A72" s="424"/>
      <c r="B72" s="354"/>
      <c r="C72" s="354"/>
      <c r="D72" s="359"/>
      <c r="E72" s="434"/>
      <c r="F72" s="434"/>
      <c r="G72" s="357"/>
      <c r="H72" s="358"/>
      <c r="I72" s="434"/>
      <c r="J72" s="358"/>
      <c r="K72" s="435"/>
      <c r="L72" s="358"/>
      <c r="M72" s="358"/>
      <c r="N72" s="422"/>
      <c r="O72" s="1109" t="s">
        <v>449</v>
      </c>
      <c r="P72" s="607"/>
      <c r="Q72" s="1110">
        <f>'Input Data'!H10*'Input Data'!F10</f>
        <v>0</v>
      </c>
      <c r="R72" s="130"/>
    </row>
    <row r="73" spans="1:19" ht="23.25" customHeight="1" thickTop="1" x14ac:dyDescent="0.2">
      <c r="A73" s="83" t="s">
        <v>177</v>
      </c>
      <c r="B73" s="65"/>
      <c r="C73" s="65"/>
      <c r="D73" s="65"/>
      <c r="E73" s="65"/>
      <c r="F73" s="65"/>
      <c r="G73" s="65"/>
      <c r="H73" s="65"/>
      <c r="I73" s="65"/>
      <c r="J73" s="65"/>
      <c r="K73" s="156"/>
      <c r="L73" s="89"/>
      <c r="M73" s="65"/>
      <c r="N73" s="95"/>
      <c r="O73" s="65"/>
      <c r="P73" s="95"/>
      <c r="Q73" s="822"/>
      <c r="R73" s="130"/>
    </row>
    <row r="74" spans="1:19" ht="15.6" customHeight="1" x14ac:dyDescent="0.2">
      <c r="A74" s="16" t="s">
        <v>172</v>
      </c>
      <c r="B74" s="65"/>
      <c r="C74" s="65"/>
      <c r="D74" s="65"/>
      <c r="E74" s="65"/>
      <c r="F74" s="65"/>
      <c r="G74" s="65"/>
      <c r="H74" s="65"/>
      <c r="I74" s="65"/>
      <c r="J74" s="95" t="s">
        <v>121</v>
      </c>
      <c r="K74" s="95"/>
      <c r="L74" s="89"/>
      <c r="M74" s="90" t="s">
        <v>6</v>
      </c>
      <c r="N74" s="65"/>
      <c r="O74" s="89"/>
      <c r="P74" s="91" t="s">
        <v>115</v>
      </c>
      <c r="Q74" s="822">
        <f>IF(Q118&gt;0,0,'Time Based'!H22)</f>
        <v>0</v>
      </c>
      <c r="R74" s="130"/>
    </row>
    <row r="75" spans="1:19" ht="15.6" customHeight="1" x14ac:dyDescent="0.2">
      <c r="A75" s="16" t="s">
        <v>120</v>
      </c>
      <c r="B75" s="65"/>
      <c r="C75" s="30"/>
      <c r="D75" s="30"/>
      <c r="E75" s="37">
        <f>IF('Input Data'!$D$33="Y",0.7,1)</f>
        <v>1</v>
      </c>
      <c r="F75" s="37" t="s">
        <v>25</v>
      </c>
      <c r="G75" s="67">
        <f>IF('Input Data'!$E$36="Y",0.06,0)</f>
        <v>0</v>
      </c>
      <c r="H75" s="37" t="s">
        <v>1</v>
      </c>
      <c r="I75" s="50">
        <f>IF('Input Data'!$F$31=1,0.05,IF('Input Data'!$F$31=2,Scales!$L$5,IF('Input Data'!$F$31=3,Scales!$L$6,IF('Input Data'!$F$31=4,Scales!$L$7,IF('Input Data'!$F$31=5,0.95,1)))))</f>
        <v>0.05</v>
      </c>
      <c r="J75" s="39" t="s">
        <v>1</v>
      </c>
      <c r="K75" s="92">
        <f>IF('Input Data'!$E$36="Y",$Q$118,0)</f>
        <v>0</v>
      </c>
      <c r="L75" s="93" t="s">
        <v>115</v>
      </c>
      <c r="M75" s="94">
        <f>IF('Input Data'!$E$36="Y",(E75*G75*I75*K75),0)</f>
        <v>0</v>
      </c>
      <c r="N75" s="65"/>
      <c r="O75" s="144" t="s">
        <v>119</v>
      </c>
      <c r="P75" s="91" t="s">
        <v>115</v>
      </c>
      <c r="Q75" s="822">
        <f>IF('Input Data'!E36="Y",IF(M75 &gt;'Time Based'!$H$38,'Time Based'!$H$38,$M$75),0)</f>
        <v>0</v>
      </c>
      <c r="R75" s="130"/>
    </row>
    <row r="76" spans="1:19" ht="15.75" customHeight="1" x14ac:dyDescent="0.2">
      <c r="A76" s="17" t="s">
        <v>213</v>
      </c>
      <c r="B76" s="360" t="s">
        <v>239</v>
      </c>
      <c r="C76" s="65"/>
      <c r="D76" s="65"/>
      <c r="E76" s="65"/>
      <c r="F76" s="65"/>
      <c r="G76" s="65"/>
      <c r="H76" s="30"/>
      <c r="I76" s="30"/>
      <c r="J76" s="95" t="s">
        <v>214</v>
      </c>
      <c r="K76" s="30"/>
      <c r="L76" s="89"/>
      <c r="M76" s="90" t="s">
        <v>6</v>
      </c>
      <c r="N76" s="65"/>
      <c r="O76" s="90" t="s">
        <v>119</v>
      </c>
      <c r="P76" s="91" t="s">
        <v>115</v>
      </c>
      <c r="Q76" s="822">
        <f>'Travelling &amp; Subsistence'!I17</f>
        <v>0</v>
      </c>
      <c r="R76" s="130"/>
    </row>
    <row r="77" spans="1:19" x14ac:dyDescent="0.2">
      <c r="A77" s="17" t="s">
        <v>215</v>
      </c>
      <c r="B77" s="65"/>
      <c r="C77" s="65"/>
      <c r="D77" s="65"/>
      <c r="E77" s="65"/>
      <c r="F77" s="65"/>
      <c r="G77" s="65"/>
      <c r="H77" s="30"/>
      <c r="I77" s="30"/>
      <c r="J77" s="95" t="s">
        <v>216</v>
      </c>
      <c r="K77" s="30"/>
      <c r="L77" s="89"/>
      <c r="M77" s="90" t="s">
        <v>6</v>
      </c>
      <c r="N77" s="65"/>
      <c r="O77" s="90" t="s">
        <v>119</v>
      </c>
      <c r="P77" s="91" t="s">
        <v>115</v>
      </c>
      <c r="Q77" s="822">
        <f>'Time Based'!H77</f>
        <v>0</v>
      </c>
      <c r="R77" s="130"/>
    </row>
    <row r="78" spans="1:19" ht="15.75" thickBot="1" x14ac:dyDescent="0.25">
      <c r="A78" s="18"/>
      <c r="B78" s="55"/>
      <c r="C78" s="55"/>
      <c r="D78" s="15"/>
      <c r="E78" s="15"/>
      <c r="F78" s="15"/>
      <c r="G78" s="15"/>
      <c r="H78" s="15"/>
      <c r="I78" s="15"/>
      <c r="J78" s="96"/>
      <c r="K78" s="97"/>
      <c r="L78" s="29"/>
      <c r="M78" s="302" t="s">
        <v>178</v>
      </c>
      <c r="N78" s="107"/>
      <c r="O78" s="107"/>
      <c r="P78" s="303"/>
      <c r="Q78" s="823">
        <f>SUM(Q74:Q77)</f>
        <v>0</v>
      </c>
      <c r="R78" s="130"/>
    </row>
    <row r="79" spans="1:19" ht="22.5" customHeight="1" thickTop="1" x14ac:dyDescent="0.2">
      <c r="A79" s="83" t="s">
        <v>180</v>
      </c>
      <c r="B79" s="65"/>
      <c r="C79" s="65"/>
      <c r="D79" s="65"/>
      <c r="E79" s="65"/>
      <c r="F79" s="65"/>
      <c r="G79" s="65"/>
      <c r="H79" s="65"/>
      <c r="I79" s="65"/>
      <c r="J79" s="65"/>
      <c r="K79" s="65"/>
      <c r="L79" s="65"/>
      <c r="M79" s="65"/>
      <c r="N79" s="65"/>
      <c r="O79" s="98"/>
      <c r="P79" s="92"/>
      <c r="Q79" s="822"/>
      <c r="R79" s="130"/>
    </row>
    <row r="80" spans="1:19" x14ac:dyDescent="0.2">
      <c r="A80" s="17" t="s">
        <v>134</v>
      </c>
      <c r="B80" s="65"/>
      <c r="C80" s="360" t="s">
        <v>239</v>
      </c>
      <c r="D80" s="65"/>
      <c r="E80" s="65"/>
      <c r="F80" s="65"/>
      <c r="G80" s="65"/>
      <c r="H80" s="65"/>
      <c r="I80" s="65"/>
      <c r="J80" s="65"/>
      <c r="K80" s="65"/>
      <c r="L80" s="65"/>
      <c r="M80" s="95"/>
      <c r="N80" s="65"/>
      <c r="O80" s="19"/>
      <c r="P80" s="19"/>
      <c r="Q80" s="824">
        <f>'Travelling &amp; Subsistence'!I60</f>
        <v>0</v>
      </c>
      <c r="R80" s="130"/>
    </row>
    <row r="81" spans="1:18" x14ac:dyDescent="0.2">
      <c r="A81" s="17" t="s">
        <v>93</v>
      </c>
      <c r="B81" s="65"/>
      <c r="C81" s="65"/>
      <c r="D81" s="65"/>
      <c r="E81" s="65"/>
      <c r="F81" s="65"/>
      <c r="G81" s="65"/>
      <c r="H81" s="65"/>
      <c r="I81" s="65"/>
      <c r="J81" s="65"/>
      <c r="K81" s="65"/>
      <c r="L81" s="65"/>
      <c r="M81" s="95"/>
      <c r="N81" s="65"/>
      <c r="O81" s="19"/>
      <c r="P81" s="19"/>
      <c r="Q81" s="824">
        <f>'Typing, Duplicating, &amp; Printing'!I59</f>
        <v>0</v>
      </c>
      <c r="R81" s="130"/>
    </row>
    <row r="82" spans="1:18" x14ac:dyDescent="0.2">
      <c r="A82" s="17" t="s">
        <v>94</v>
      </c>
      <c r="B82" s="65"/>
      <c r="C82" s="65"/>
      <c r="D82" s="65"/>
      <c r="E82" s="65"/>
      <c r="F82" s="65"/>
      <c r="G82" s="65"/>
      <c r="H82" s="65"/>
      <c r="I82" s="65"/>
      <c r="J82" s="65"/>
      <c r="K82" s="65"/>
      <c r="L82" s="65"/>
      <c r="M82" s="95"/>
      <c r="N82" s="65"/>
      <c r="O82" s="19"/>
      <c r="P82" s="19"/>
      <c r="Q82" s="824">
        <f>'Site staff &amp; Other'!H60</f>
        <v>0</v>
      </c>
      <c r="R82" s="130"/>
    </row>
    <row r="83" spans="1:18" x14ac:dyDescent="0.2">
      <c r="A83" s="17"/>
      <c r="B83" s="65"/>
      <c r="C83" s="65"/>
      <c r="D83" s="65"/>
      <c r="E83" s="65"/>
      <c r="F83" s="65"/>
      <c r="G83" s="65"/>
      <c r="H83" s="65"/>
      <c r="I83" s="65"/>
      <c r="J83" s="65"/>
      <c r="K83" s="65"/>
      <c r="L83" s="65"/>
      <c r="M83" s="95"/>
      <c r="N83" s="65"/>
      <c r="O83" s="19"/>
      <c r="P83" s="19"/>
      <c r="Q83" s="824"/>
      <c r="R83" s="130"/>
    </row>
    <row r="84" spans="1:18" ht="15.75" thickBot="1" x14ac:dyDescent="0.25">
      <c r="A84" s="18"/>
      <c r="B84" s="15"/>
      <c r="C84" s="15"/>
      <c r="D84" s="15"/>
      <c r="E84" s="15"/>
      <c r="F84" s="15"/>
      <c r="G84" s="15"/>
      <c r="H84" s="15"/>
      <c r="I84" s="304" t="s">
        <v>179</v>
      </c>
      <c r="J84" s="305"/>
      <c r="K84" s="306"/>
      <c r="L84" s="107"/>
      <c r="M84" s="305"/>
      <c r="N84" s="305"/>
      <c r="O84" s="306"/>
      <c r="P84" s="306"/>
      <c r="Q84" s="825">
        <f>SUM(Q80:Q82)</f>
        <v>0</v>
      </c>
      <c r="R84" s="130"/>
    </row>
    <row r="85" spans="1:18" ht="15.75" thickTop="1" x14ac:dyDescent="0.2">
      <c r="A85" s="99"/>
      <c r="B85" s="82"/>
      <c r="C85" s="65"/>
      <c r="D85" s="65"/>
      <c r="E85" s="65"/>
      <c r="F85" s="65"/>
      <c r="G85" s="65"/>
      <c r="H85" s="65"/>
      <c r="I85" s="65"/>
      <c r="J85" s="65"/>
      <c r="K85" s="355" t="s">
        <v>23</v>
      </c>
      <c r="L85" s="356"/>
      <c r="M85" s="356" t="s">
        <v>111</v>
      </c>
      <c r="N85" s="356"/>
      <c r="O85" s="356"/>
      <c r="P85" s="356"/>
      <c r="Q85" s="826">
        <f>Q71-Q72+Q78+Q84</f>
        <v>0</v>
      </c>
      <c r="R85" s="130"/>
    </row>
    <row r="86" spans="1:18" x14ac:dyDescent="0.2">
      <c r="A86" s="17"/>
      <c r="B86" s="65"/>
      <c r="C86" s="65"/>
      <c r="D86" s="65"/>
      <c r="E86" s="65"/>
      <c r="F86" s="65"/>
      <c r="G86" s="65"/>
      <c r="H86" s="65"/>
      <c r="I86" s="19"/>
      <c r="J86" s="19"/>
      <c r="K86" s="106" t="s">
        <v>114</v>
      </c>
      <c r="L86" s="105"/>
      <c r="M86" s="105"/>
      <c r="N86" s="307"/>
      <c r="O86" s="307"/>
      <c r="P86" s="307"/>
      <c r="Q86" s="827">
        <f>ROUND('Previous Payments'!K42,2)</f>
        <v>0</v>
      </c>
      <c r="R86" s="130"/>
    </row>
    <row r="87" spans="1:18" ht="16.5" thickBot="1" x14ac:dyDescent="0.25">
      <c r="A87" s="17"/>
      <c r="B87" s="65"/>
      <c r="C87" s="15"/>
      <c r="D87" s="65"/>
      <c r="E87" s="65"/>
      <c r="F87" s="65"/>
      <c r="G87" s="1727" t="str">
        <f>IF($Q$85&lt;$Q$86,"OVERPAID BY (Ecl Tax)",IF($Q$85&gt;$Q$86,"FEES NOW DUE EXCLUDING VAT &amp; NON TAXABLE EXPENSES",""))</f>
        <v/>
      </c>
      <c r="H87" s="1728"/>
      <c r="I87" s="1728"/>
      <c r="J87" s="1728"/>
      <c r="K87" s="1728"/>
      <c r="L87" s="1728"/>
      <c r="M87" s="1729"/>
      <c r="N87" s="1729"/>
      <c r="O87" s="1729"/>
      <c r="P87" s="101"/>
      <c r="Q87" s="828">
        <f>Q85-Q86</f>
        <v>0</v>
      </c>
      <c r="R87" s="130"/>
    </row>
    <row r="88" spans="1:18" ht="15.75" thickTop="1" x14ac:dyDescent="0.2">
      <c r="A88" s="99"/>
      <c r="B88" s="82"/>
      <c r="C88" s="65"/>
      <c r="D88" s="82" t="s">
        <v>0</v>
      </c>
      <c r="E88" s="82"/>
      <c r="F88" s="82"/>
      <c r="G88" s="82"/>
      <c r="H88" s="82"/>
      <c r="I88" s="1734">
        <v>0.14000000000000001</v>
      </c>
      <c r="J88" s="1735"/>
      <c r="K88" s="82" t="s">
        <v>21</v>
      </c>
      <c r="L88" s="19"/>
      <c r="M88" s="102">
        <f>IF('Input Data'!D17="none",0,Q87)</f>
        <v>0</v>
      </c>
      <c r="N88" s="82"/>
      <c r="O88" s="82"/>
      <c r="P88" s="82"/>
      <c r="Q88" s="829">
        <f>I88*M88</f>
        <v>0</v>
      </c>
      <c r="R88" s="130"/>
    </row>
    <row r="89" spans="1:18" ht="15.75" thickBot="1" x14ac:dyDescent="0.25">
      <c r="A89" s="17"/>
      <c r="B89" s="65"/>
      <c r="C89" s="65"/>
      <c r="D89" s="103"/>
      <c r="E89" s="103"/>
      <c r="F89" s="103"/>
      <c r="G89" s="103"/>
      <c r="H89" s="103"/>
      <c r="I89" s="95"/>
      <c r="J89" s="104"/>
      <c r="K89" s="65"/>
      <c r="L89" s="104" t="s">
        <v>229</v>
      </c>
      <c r="M89" s="19"/>
      <c r="N89" s="100"/>
      <c r="O89" s="308"/>
      <c r="P89" s="95"/>
      <c r="Q89" s="822">
        <f>'Non Taxable'!I20</f>
        <v>0</v>
      </c>
      <c r="R89" s="130"/>
    </row>
    <row r="90" spans="1:18" ht="24.75" customHeight="1" thickBot="1" x14ac:dyDescent="0.25">
      <c r="A90" s="309" t="s">
        <v>22</v>
      </c>
      <c r="B90" s="14"/>
      <c r="C90" s="14"/>
      <c r="D90" s="14"/>
      <c r="E90" s="14"/>
      <c r="F90" s="14"/>
      <c r="G90" s="14"/>
      <c r="H90" s="14"/>
      <c r="I90" s="1732" t="str">
        <f>IF($Q$85&lt;$Q$86,"AMOUNT TO BE RECOVERED (Incl VAT)",IF($Q$85&gt;$Q$86,"FEES NOW DUE INCLUDING VAT &amp; NON TAXABLE EXPENSES",""))</f>
        <v/>
      </c>
      <c r="J90" s="1733"/>
      <c r="K90" s="1733"/>
      <c r="L90" s="1733"/>
      <c r="M90" s="1733"/>
      <c r="N90" s="1733"/>
      <c r="O90" s="1733"/>
      <c r="P90" s="406"/>
      <c r="Q90" s="830">
        <f>Q87+Q88+Q89</f>
        <v>0</v>
      </c>
      <c r="R90" s="130"/>
    </row>
    <row r="91" spans="1:18" ht="23.25" customHeight="1" thickTop="1" thickBot="1" x14ac:dyDescent="0.25">
      <c r="A91" s="789" t="s">
        <v>128</v>
      </c>
      <c r="B91" s="790"/>
      <c r="C91" s="790"/>
      <c r="D91" s="790"/>
      <c r="E91" s="790"/>
      <c r="F91" s="790"/>
      <c r="G91" s="790"/>
      <c r="H91" s="790"/>
      <c r="I91" s="790"/>
      <c r="J91" s="790"/>
      <c r="K91" s="790"/>
      <c r="L91" s="790"/>
      <c r="M91" s="790"/>
      <c r="N91" s="790"/>
      <c r="O91" s="790"/>
      <c r="P91" s="790"/>
      <c r="Q91" s="791"/>
      <c r="R91" s="130"/>
    </row>
    <row r="92" spans="1:18" ht="9.75" customHeight="1" thickTop="1" x14ac:dyDescent="0.2">
      <c r="A92" s="731"/>
      <c r="B92" s="732"/>
      <c r="C92" s="733"/>
      <c r="D92" s="733"/>
      <c r="E92" s="734"/>
      <c r="F92" s="733"/>
      <c r="G92" s="733"/>
      <c r="H92" s="733"/>
      <c r="I92" s="735"/>
      <c r="J92" s="736"/>
      <c r="K92" s="736"/>
      <c r="L92" s="736"/>
      <c r="M92" s="736"/>
      <c r="N92" s="736"/>
      <c r="O92" s="737"/>
      <c r="P92" s="738"/>
      <c r="Q92" s="739"/>
      <c r="R92" s="130"/>
    </row>
    <row r="93" spans="1:18" ht="15.75" x14ac:dyDescent="0.2">
      <c r="A93" s="740" t="s">
        <v>399</v>
      </c>
      <c r="B93" s="741"/>
      <c r="C93" s="733"/>
      <c r="D93" s="733"/>
      <c r="E93" s="733"/>
      <c r="F93" s="733"/>
      <c r="G93" s="733"/>
      <c r="H93" s="733"/>
      <c r="I93" s="733"/>
      <c r="J93" s="736"/>
      <c r="K93" s="736"/>
      <c r="L93" s="736"/>
      <c r="M93" s="736"/>
      <c r="N93" s="736"/>
      <c r="O93" s="737"/>
      <c r="P93" s="738"/>
      <c r="Q93" s="739"/>
      <c r="R93" s="130"/>
    </row>
    <row r="94" spans="1:18" ht="7.5" customHeight="1" x14ac:dyDescent="0.2">
      <c r="A94" s="742"/>
      <c r="B94" s="741"/>
      <c r="C94" s="733"/>
      <c r="D94" s="733"/>
      <c r="E94" s="733"/>
      <c r="F94" s="733"/>
      <c r="G94" s="733"/>
      <c r="H94" s="733"/>
      <c r="I94" s="733"/>
      <c r="J94" s="736"/>
      <c r="K94" s="736"/>
      <c r="L94" s="736"/>
      <c r="M94" s="736"/>
      <c r="N94" s="736"/>
      <c r="O94" s="737"/>
      <c r="P94" s="738"/>
      <c r="Q94" s="739"/>
      <c r="R94" s="130"/>
    </row>
    <row r="95" spans="1:18" ht="15.75" x14ac:dyDescent="0.2">
      <c r="A95" s="743"/>
      <c r="B95" s="744" t="s">
        <v>335</v>
      </c>
      <c r="C95" s="745"/>
      <c r="D95" s="746"/>
      <c r="E95" s="747"/>
      <c r="F95" s="747"/>
      <c r="G95" s="747"/>
      <c r="H95" s="747"/>
      <c r="I95" s="748"/>
      <c r="J95" s="736"/>
      <c r="K95" s="748"/>
      <c r="L95" s="744" t="s">
        <v>336</v>
      </c>
      <c r="M95" s="749"/>
      <c r="N95" s="749"/>
      <c r="O95" s="737"/>
      <c r="P95" s="738"/>
      <c r="Q95" s="739"/>
      <c r="R95" s="130"/>
    </row>
    <row r="96" spans="1:18" ht="9.75" customHeight="1" thickBot="1" x14ac:dyDescent="0.25">
      <c r="A96" s="750"/>
      <c r="B96" s="751"/>
      <c r="C96" s="752"/>
      <c r="D96" s="752"/>
      <c r="E96" s="752" t="s">
        <v>337</v>
      </c>
      <c r="F96" s="752"/>
      <c r="G96" s="752"/>
      <c r="H96" s="752"/>
      <c r="I96" s="753"/>
      <c r="J96" s="754"/>
      <c r="K96" s="754"/>
      <c r="L96" s="754"/>
      <c r="M96" s="754"/>
      <c r="N96" s="754"/>
      <c r="O96" s="755"/>
      <c r="P96" s="756"/>
      <c r="Q96" s="757"/>
      <c r="R96" s="130"/>
    </row>
    <row r="97" spans="1:18" ht="15.75" thickTop="1" x14ac:dyDescent="0.2">
      <c r="A97" s="758" t="s">
        <v>338</v>
      </c>
      <c r="B97" s="732"/>
      <c r="C97" s="733"/>
      <c r="D97" s="747"/>
      <c r="E97" s="747"/>
      <c r="F97" s="733"/>
      <c r="G97" s="747"/>
      <c r="H97" s="747"/>
      <c r="I97" s="734"/>
      <c r="J97" s="759"/>
      <c r="K97" s="733"/>
      <c r="L97" s="759"/>
      <c r="M97" s="733"/>
      <c r="N97" s="759"/>
      <c r="O97" s="733"/>
      <c r="P97" s="759"/>
      <c r="Q97" s="760"/>
      <c r="R97" s="130"/>
    </row>
    <row r="98" spans="1:18" x14ac:dyDescent="0.2">
      <c r="A98" s="761" t="s">
        <v>339</v>
      </c>
      <c r="B98" s="741"/>
      <c r="C98" s="733"/>
      <c r="D98" s="747"/>
      <c r="E98" s="747"/>
      <c r="F98" s="733"/>
      <c r="G98" s="747"/>
      <c r="H98" s="747"/>
      <c r="I98" s="733"/>
      <c r="J98" s="759"/>
      <c r="K98" s="733"/>
      <c r="L98" s="759"/>
      <c r="M98" s="733"/>
      <c r="N98" s="759"/>
      <c r="O98" s="733"/>
      <c r="P98" s="759"/>
      <c r="Q98" s="762"/>
      <c r="R98" s="130"/>
    </row>
    <row r="99" spans="1:18" ht="9" customHeight="1" x14ac:dyDescent="0.2">
      <c r="A99" s="742"/>
      <c r="B99" s="741"/>
      <c r="C99" s="733"/>
      <c r="D99" s="747"/>
      <c r="E99" s="747"/>
      <c r="F99" s="733"/>
      <c r="G99" s="747"/>
      <c r="H99" s="747"/>
      <c r="I99" s="733"/>
      <c r="J99" s="737"/>
      <c r="K99" s="733"/>
      <c r="L99" s="763"/>
      <c r="M99" s="733"/>
      <c r="N99" s="764"/>
      <c r="O99" s="733"/>
      <c r="P99" s="765"/>
      <c r="Q99" s="762"/>
      <c r="R99" s="130"/>
    </row>
    <row r="100" spans="1:18" ht="15.75" x14ac:dyDescent="0.2">
      <c r="A100" s="743"/>
      <c r="B100" s="744" t="s">
        <v>340</v>
      </c>
      <c r="C100" s="745"/>
      <c r="D100" s="766"/>
      <c r="E100" s="766"/>
      <c r="F100" s="746"/>
      <c r="G100" s="766"/>
      <c r="H100" s="766"/>
      <c r="I100" s="749"/>
      <c r="J100" s="767"/>
      <c r="K100" s="747"/>
      <c r="L100" s="744" t="s">
        <v>341</v>
      </c>
      <c r="M100" s="749"/>
      <c r="N100" s="768"/>
      <c r="O100" s="749"/>
      <c r="P100" s="759"/>
      <c r="Q100" s="769"/>
      <c r="R100" s="130"/>
    </row>
    <row r="101" spans="1:18" ht="8.25" customHeight="1" x14ac:dyDescent="0.2">
      <c r="A101" s="770"/>
      <c r="B101" s="771"/>
      <c r="C101" s="772"/>
      <c r="D101" s="747"/>
      <c r="E101" s="747"/>
      <c r="F101" s="733"/>
      <c r="G101" s="747"/>
      <c r="H101" s="747"/>
      <c r="I101" s="748"/>
      <c r="J101" s="767"/>
      <c r="K101" s="744"/>
      <c r="L101" s="759"/>
      <c r="M101" s="748"/>
      <c r="N101" s="773"/>
      <c r="O101" s="748"/>
      <c r="P101" s="759"/>
      <c r="Q101" s="769"/>
      <c r="R101" s="130"/>
    </row>
    <row r="102" spans="1:18" x14ac:dyDescent="0.2">
      <c r="A102" s="783"/>
      <c r="B102" s="784" t="s">
        <v>336</v>
      </c>
      <c r="C102" s="746"/>
      <c r="D102" s="766"/>
      <c r="E102" s="766"/>
      <c r="F102" s="746"/>
      <c r="G102" s="766"/>
      <c r="H102" s="766"/>
      <c r="I102" s="746"/>
      <c r="J102" s="785"/>
      <c r="K102" s="784"/>
      <c r="L102" s="784" t="s">
        <v>336</v>
      </c>
      <c r="M102" s="746"/>
      <c r="N102" s="786"/>
      <c r="O102" s="746"/>
      <c r="P102" s="785"/>
      <c r="Q102" s="787"/>
      <c r="R102" s="130"/>
    </row>
    <row r="103" spans="1:18" x14ac:dyDescent="0.2">
      <c r="A103" s="788" t="s">
        <v>426</v>
      </c>
      <c r="B103" s="1737"/>
      <c r="C103" s="1738"/>
      <c r="D103" s="1738"/>
      <c r="E103" s="1738"/>
      <c r="F103" s="1738"/>
      <c r="G103" s="1738"/>
      <c r="H103" s="1738"/>
      <c r="I103" s="1738"/>
      <c r="J103" s="1738"/>
      <c r="K103" s="1738"/>
      <c r="L103" s="1738"/>
      <c r="M103" s="1738"/>
      <c r="N103" s="1738"/>
      <c r="O103" s="1738"/>
      <c r="P103" s="1738"/>
      <c r="Q103" s="1739"/>
      <c r="R103" s="130"/>
    </row>
    <row r="104" spans="1:18" ht="15.75" thickBot="1" x14ac:dyDescent="0.25">
      <c r="A104" s="774"/>
      <c r="B104" s="1740"/>
      <c r="C104" s="1740"/>
      <c r="D104" s="1740"/>
      <c r="E104" s="1740"/>
      <c r="F104" s="1740"/>
      <c r="G104" s="1740"/>
      <c r="H104" s="1740"/>
      <c r="I104" s="1740"/>
      <c r="J104" s="1740"/>
      <c r="K104" s="1740"/>
      <c r="L104" s="1740"/>
      <c r="M104" s="1740"/>
      <c r="N104" s="1740"/>
      <c r="O104" s="1740"/>
      <c r="P104" s="1740"/>
      <c r="Q104" s="1741"/>
      <c r="R104" s="130"/>
    </row>
    <row r="105" spans="1:18" ht="16.5" thickTop="1" x14ac:dyDescent="0.2">
      <c r="A105" s="545" t="s">
        <v>338</v>
      </c>
      <c r="B105" s="549"/>
      <c r="C105" s="543"/>
      <c r="D105" s="30"/>
      <c r="E105" s="30"/>
      <c r="F105" s="543"/>
      <c r="G105" s="30"/>
      <c r="H105" s="30"/>
      <c r="I105" s="543"/>
      <c r="J105" s="30"/>
      <c r="K105" s="549"/>
      <c r="L105" s="30"/>
      <c r="M105" s="543"/>
      <c r="N105" s="547"/>
      <c r="O105" s="543"/>
      <c r="P105" s="157"/>
      <c r="Q105" s="546"/>
      <c r="R105" s="130"/>
    </row>
    <row r="106" spans="1:18" ht="15.75" x14ac:dyDescent="0.2">
      <c r="A106" s="550" t="s">
        <v>342</v>
      </c>
      <c r="B106" s="551" t="s">
        <v>343</v>
      </c>
      <c r="C106" s="544"/>
      <c r="D106" s="548"/>
      <c r="E106" s="548"/>
      <c r="F106" s="544"/>
      <c r="G106" s="548"/>
      <c r="H106" s="548"/>
      <c r="I106" s="544"/>
      <c r="J106" s="548"/>
      <c r="K106" s="544"/>
      <c r="L106" s="548"/>
      <c r="M106" s="544"/>
      <c r="N106" s="552"/>
      <c r="O106" s="544"/>
      <c r="P106" s="548"/>
      <c r="Q106" s="553"/>
      <c r="R106" s="130"/>
    </row>
    <row r="107" spans="1:18" ht="25.5" customHeight="1" x14ac:dyDescent="0.2">
      <c r="A107" s="554" t="s">
        <v>344</v>
      </c>
      <c r="B107" s="555" t="s">
        <v>345</v>
      </c>
      <c r="C107" s="1656" t="s">
        <v>346</v>
      </c>
      <c r="D107" s="1657"/>
      <c r="E107" s="1657"/>
      <c r="F107" s="1656" t="s">
        <v>347</v>
      </c>
      <c r="G107" s="1657"/>
      <c r="H107" s="1657"/>
      <c r="I107" s="1656" t="s">
        <v>348</v>
      </c>
      <c r="J107" s="1657"/>
      <c r="K107" s="1656" t="s">
        <v>349</v>
      </c>
      <c r="L107" s="1657"/>
      <c r="M107" s="1656" t="s">
        <v>350</v>
      </c>
      <c r="N107" s="1657"/>
      <c r="O107" s="1656" t="s">
        <v>351</v>
      </c>
      <c r="P107" s="1657"/>
      <c r="Q107" s="556" t="s">
        <v>352</v>
      </c>
      <c r="R107" s="130"/>
    </row>
    <row r="108" spans="1:18" x14ac:dyDescent="0.2">
      <c r="A108" s="557" t="s">
        <v>353</v>
      </c>
      <c r="B108" s="850">
        <f>'Previous Payments'!J42-C108-F108-I108-K108-M108-O108</f>
        <v>0</v>
      </c>
      <c r="C108" s="1652">
        <f>'Time Based'!H78</f>
        <v>0</v>
      </c>
      <c r="D108" s="1653"/>
      <c r="E108" s="1653"/>
      <c r="F108" s="1652">
        <f>'Travelling &amp; Subsistence'!I61</f>
        <v>0</v>
      </c>
      <c r="G108" s="1653"/>
      <c r="H108" s="1653"/>
      <c r="I108" s="1652">
        <f>'Typing, Duplicating, &amp; Printing'!I60</f>
        <v>0</v>
      </c>
      <c r="J108" s="1653"/>
      <c r="K108" s="1652">
        <f>'Site staff &amp; Other'!H61</f>
        <v>0</v>
      </c>
      <c r="L108" s="1653"/>
      <c r="M108" s="1652">
        <f>'Previous Payments'!I42</f>
        <v>0</v>
      </c>
      <c r="N108" s="1653"/>
      <c r="O108" s="1652">
        <f>'Non Taxable'!I19</f>
        <v>0</v>
      </c>
      <c r="P108" s="1653"/>
      <c r="Q108" s="851">
        <f>SUM(B108:O108)</f>
        <v>0</v>
      </c>
      <c r="R108" s="130"/>
    </row>
    <row r="109" spans="1:18" x14ac:dyDescent="0.2">
      <c r="A109" s="557" t="s">
        <v>354</v>
      </c>
      <c r="B109" s="850">
        <f>B110-Q72-B108</f>
        <v>0</v>
      </c>
      <c r="C109" s="1658">
        <f>C110-C108</f>
        <v>0</v>
      </c>
      <c r="D109" s="1659"/>
      <c r="E109" s="1660"/>
      <c r="F109" s="1658">
        <f>F110-F108</f>
        <v>0</v>
      </c>
      <c r="G109" s="1659"/>
      <c r="H109" s="1660"/>
      <c r="I109" s="1658">
        <f>I110-I108</f>
        <v>0</v>
      </c>
      <c r="J109" s="1660"/>
      <c r="K109" s="1658">
        <f>K110-K108</f>
        <v>0</v>
      </c>
      <c r="L109" s="1660"/>
      <c r="M109" s="1658">
        <f>M110-M108</f>
        <v>0</v>
      </c>
      <c r="N109" s="1660"/>
      <c r="O109" s="1658">
        <f>O110-O108</f>
        <v>0</v>
      </c>
      <c r="P109" s="1660"/>
      <c r="Q109" s="851">
        <f>Q110-Q108</f>
        <v>0</v>
      </c>
      <c r="R109" s="130"/>
    </row>
    <row r="110" spans="1:18" x14ac:dyDescent="0.2">
      <c r="A110" s="557" t="s">
        <v>355</v>
      </c>
      <c r="B110" s="850">
        <f>Q71</f>
        <v>0</v>
      </c>
      <c r="C110" s="1652">
        <f>Q78</f>
        <v>0</v>
      </c>
      <c r="D110" s="1653"/>
      <c r="E110" s="1653"/>
      <c r="F110" s="1652">
        <f>Q80</f>
        <v>0</v>
      </c>
      <c r="G110" s="1653"/>
      <c r="H110" s="1653"/>
      <c r="I110" s="1652">
        <f>Q81</f>
        <v>0</v>
      </c>
      <c r="J110" s="1653"/>
      <c r="K110" s="1652">
        <f>Q82</f>
        <v>0</v>
      </c>
      <c r="L110" s="1653"/>
      <c r="M110" s="1652">
        <f>Q88+'Previous Payments'!I42</f>
        <v>0</v>
      </c>
      <c r="N110" s="1653"/>
      <c r="O110" s="1652">
        <f>Q89</f>
        <v>0</v>
      </c>
      <c r="P110" s="1653"/>
      <c r="Q110" s="851">
        <f>SUM(B110:O110)</f>
        <v>0</v>
      </c>
      <c r="R110" s="130"/>
    </row>
    <row r="111" spans="1:18" ht="15.75" thickBot="1" x14ac:dyDescent="0.25">
      <c r="A111" s="643" t="s">
        <v>342</v>
      </c>
      <c r="B111" s="852"/>
      <c r="C111" s="1718"/>
      <c r="D111" s="1719"/>
      <c r="E111" s="1719"/>
      <c r="F111" s="1720"/>
      <c r="G111" s="1721"/>
      <c r="H111" s="1722"/>
      <c r="I111" s="1723"/>
      <c r="J111" s="1722"/>
      <c r="K111" s="1723"/>
      <c r="L111" s="1722"/>
      <c r="M111" s="1723"/>
      <c r="N111" s="1722"/>
      <c r="O111" s="1723"/>
      <c r="P111" s="1721"/>
      <c r="Q111" s="853">
        <f>SUM(B111:O111)</f>
        <v>0</v>
      </c>
      <c r="R111" s="130"/>
    </row>
    <row r="112" spans="1:18" ht="16.5" thickTop="1" thickBot="1" x14ac:dyDescent="0.25"/>
    <row r="113" spans="1:17" ht="21" thickTop="1" x14ac:dyDescent="0.2">
      <c r="A113" s="644" t="s">
        <v>326</v>
      </c>
      <c r="B113" s="524"/>
      <c r="C113" s="524"/>
      <c r="D113" s="524"/>
      <c r="E113" s="524"/>
      <c r="F113" s="524"/>
      <c r="G113" s="524"/>
      <c r="H113" s="524"/>
      <c r="I113" s="524"/>
      <c r="J113" s="524"/>
      <c r="K113" s="524"/>
      <c r="L113" s="524"/>
      <c r="M113" s="524"/>
      <c r="N113" s="524"/>
      <c r="O113" s="524"/>
      <c r="P113" s="524"/>
      <c r="Q113" s="642"/>
    </row>
    <row r="114" spans="1:17" ht="18" x14ac:dyDescent="0.2">
      <c r="A114" s="645" t="s">
        <v>27</v>
      </c>
      <c r="B114" s="30"/>
      <c r="C114" s="30"/>
      <c r="D114" s="30"/>
      <c r="E114" s="30"/>
      <c r="F114" s="30"/>
      <c r="G114" s="30"/>
      <c r="H114" s="30"/>
      <c r="I114" s="30"/>
      <c r="J114" s="30"/>
      <c r="K114" s="30"/>
      <c r="L114" s="30"/>
      <c r="M114" s="30"/>
      <c r="N114" s="30"/>
      <c r="O114" s="30"/>
      <c r="P114" s="30"/>
      <c r="Q114" s="407"/>
    </row>
    <row r="115" spans="1:17" ht="18" x14ac:dyDescent="0.2">
      <c r="A115" s="137" t="s">
        <v>325</v>
      </c>
      <c r="B115" s="19"/>
      <c r="C115" s="20"/>
      <c r="D115" s="37"/>
      <c r="E115" s="37"/>
      <c r="F115" s="37"/>
      <c r="G115" s="37"/>
      <c r="H115" s="37"/>
      <c r="I115" s="38"/>
      <c r="J115" s="39"/>
      <c r="K115" s="26">
        <f>IF('Input Data'!E9="E",IF('Input Data'!$E$20=1,VLOOKUP($Q$19,SCALE_2011SE1,3)),0)</f>
        <v>0</v>
      </c>
      <c r="L115" s="52" t="s">
        <v>118</v>
      </c>
      <c r="M115" s="40">
        <f>IF('Input Data'!E9="e",IF('Input Data'!$E$20=1,VLOOKUP($Q$19,SCALE_2011SE1,4)),0)</f>
        <v>0.125</v>
      </c>
      <c r="N115" s="41" t="s">
        <v>1</v>
      </c>
      <c r="O115" s="42">
        <f>IF('Input Data'!E9="e",($Q$19-(IF('Input Data'!$E$20=1,VLOOKUP($Q$19,SCALE_2011SE1,1)))),Q19)</f>
        <v>0</v>
      </c>
      <c r="P115" s="43" t="s">
        <v>3</v>
      </c>
      <c r="Q115" s="845">
        <f>IF('Input Data'!$H$48&gt;'Input Data'!$H$36,(K115+M115*O115),0)</f>
        <v>0</v>
      </c>
    </row>
    <row r="116" spans="1:17" ht="8.25" customHeight="1" x14ac:dyDescent="0.2">
      <c r="A116" s="45"/>
      <c r="B116" s="19"/>
      <c r="C116" s="20"/>
      <c r="D116" s="46"/>
      <c r="E116" s="46"/>
      <c r="F116" s="46"/>
      <c r="G116" s="46"/>
      <c r="H116" s="46"/>
      <c r="I116" s="20"/>
      <c r="J116" s="20"/>
      <c r="K116" s="26"/>
      <c r="L116" s="48"/>
      <c r="M116" s="49"/>
      <c r="N116" s="41"/>
      <c r="O116" s="26"/>
      <c r="P116" s="26"/>
      <c r="Q116" s="840"/>
    </row>
    <row r="117" spans="1:17" ht="20.25" customHeight="1" x14ac:dyDescent="0.2">
      <c r="A117" s="1715" t="s">
        <v>427</v>
      </c>
      <c r="B117" s="1716"/>
      <c r="C117" s="1716"/>
      <c r="D117" s="1716"/>
      <c r="E117" s="1710"/>
      <c r="F117" s="1710"/>
      <c r="G117" s="1710"/>
      <c r="H117" s="1710"/>
      <c r="I117" s="1710"/>
      <c r="J117" s="1717"/>
      <c r="K117" s="26">
        <f>IF('Input Data'!E9="E",IF('Input Data'!$E$20=1,VLOOKUP($J$20,SCALE_2011SE2,3)),0)</f>
        <v>0</v>
      </c>
      <c r="L117" s="52" t="s">
        <v>118</v>
      </c>
      <c r="M117" s="40">
        <f>IF('Input Data'!E9="e",IF('Input Data'!$E$20=1,VLOOKUP($J$20,SCALE_2011SE2,4)),0)</f>
        <v>0.05</v>
      </c>
      <c r="N117" s="41" t="s">
        <v>25</v>
      </c>
      <c r="O117" s="42">
        <f>IF('Input Data'!E9="e",($J$20-(IF('Input Data'!$E$20=1,VLOOKUP($J$20,SCALE_2011SE1,1)))),J20)</f>
        <v>0</v>
      </c>
      <c r="P117" s="43" t="s">
        <v>3</v>
      </c>
      <c r="Q117" s="845">
        <f>IF('Input Data'!$H$50&gt;'Input Data'!$H$36,(K117+M117*O117),0)</f>
        <v>0</v>
      </c>
    </row>
    <row r="118" spans="1:17" ht="18.75" thickBot="1" x14ac:dyDescent="0.25">
      <c r="A118" s="10"/>
      <c r="B118" s="389"/>
      <c r="C118" s="389"/>
      <c r="D118" s="389"/>
      <c r="E118" s="389"/>
      <c r="F118" s="389"/>
      <c r="G118" s="389"/>
      <c r="H118" s="389"/>
      <c r="I118" s="50"/>
      <c r="J118" s="51"/>
      <c r="K118" s="26"/>
      <c r="L118" s="52"/>
      <c r="M118" s="30"/>
      <c r="N118" s="53" t="s">
        <v>142</v>
      </c>
      <c r="O118" s="42"/>
      <c r="P118" s="43"/>
      <c r="Q118" s="849">
        <f>SUM(Q115:Q117)</f>
        <v>0</v>
      </c>
    </row>
    <row r="119" spans="1:17" ht="9.75" customHeight="1" thickTop="1" thickBot="1" x14ac:dyDescent="0.25">
      <c r="A119" s="45"/>
      <c r="B119" s="19"/>
      <c r="C119" s="20"/>
      <c r="D119" s="46"/>
      <c r="E119" s="46"/>
      <c r="F119" s="46"/>
      <c r="G119" s="46"/>
      <c r="H119" s="46"/>
      <c r="I119" s="20"/>
      <c r="J119" s="20"/>
      <c r="K119" s="47"/>
      <c r="L119" s="26"/>
      <c r="M119" s="49"/>
      <c r="N119" s="41"/>
      <c r="O119" s="26"/>
      <c r="P119" s="26"/>
      <c r="Q119" s="44"/>
    </row>
    <row r="120" spans="1:17" x14ac:dyDescent="0.2">
      <c r="A120" s="1707" t="s">
        <v>173</v>
      </c>
      <c r="B120" s="1708"/>
      <c r="C120" s="1708"/>
      <c r="D120" s="292"/>
      <c r="E120" s="292"/>
      <c r="F120" s="292"/>
      <c r="G120" s="292"/>
      <c r="H120" s="292"/>
      <c r="I120" s="398"/>
      <c r="J120" s="294"/>
      <c r="K120" s="295">
        <f>IF('Input Data'!$F$31=1,0.05,IF('Input Data'!$F$31=2,Scales!$L$5,IF('Input Data'!$F$31=3,Scales!$L$6,IF('Input Data'!$F$31=4,Scales!$L$7,0.7))))</f>
        <v>0.05</v>
      </c>
      <c r="L120" s="296" t="s">
        <v>2</v>
      </c>
      <c r="M120" s="854">
        <f>'Input Data'!$H$39</f>
        <v>0</v>
      </c>
      <c r="N120" s="855" t="s">
        <v>25</v>
      </c>
      <c r="O120" s="856">
        <f>IF('Input Data'!$H$39&gt;0,$Q$115,0)</f>
        <v>0</v>
      </c>
      <c r="P120" s="298"/>
      <c r="Q120" s="831">
        <f>IF('Input Data'!$H$39&gt;0,IF('Input Data'!$D$33="N",(K120*M120/M121*O120),0),0)</f>
        <v>0</v>
      </c>
    </row>
    <row r="121" spans="1:17" x14ac:dyDescent="0.2">
      <c r="A121" s="1709"/>
      <c r="B121" s="1710"/>
      <c r="C121" s="1710"/>
      <c r="D121" s="19"/>
      <c r="E121" s="19"/>
      <c r="F121" s="19"/>
      <c r="G121" s="19"/>
      <c r="H121" s="19"/>
      <c r="I121" s="63"/>
      <c r="J121" s="46"/>
      <c r="K121" s="50"/>
      <c r="L121" s="26"/>
      <c r="M121" s="857">
        <f>IF('Input Data'!$H$39&gt;0,'Input Data'!$H$48,0)</f>
        <v>0</v>
      </c>
      <c r="N121" s="858"/>
      <c r="O121" s="859"/>
      <c r="P121" s="47"/>
      <c r="Q121" s="832"/>
    </row>
    <row r="122" spans="1:17" ht="8.25" customHeight="1" x14ac:dyDescent="0.2">
      <c r="A122" s="64"/>
      <c r="B122" s="65"/>
      <c r="C122" s="19"/>
      <c r="D122" s="19"/>
      <c r="E122" s="19"/>
      <c r="F122" s="19"/>
      <c r="G122" s="19"/>
      <c r="H122" s="19"/>
      <c r="I122" s="66"/>
      <c r="J122" s="51"/>
      <c r="K122" s="67"/>
      <c r="L122" s="68"/>
      <c r="M122" s="860"/>
      <c r="N122" s="861"/>
      <c r="O122" s="860"/>
      <c r="P122" s="68"/>
      <c r="Q122" s="833"/>
    </row>
    <row r="123" spans="1:17" x14ac:dyDescent="0.2">
      <c r="A123" s="1711" t="s">
        <v>129</v>
      </c>
      <c r="B123" s="1712"/>
      <c r="C123" s="1712"/>
      <c r="D123" s="1712"/>
      <c r="E123" s="9"/>
      <c r="F123" s="9"/>
      <c r="G123" s="9"/>
      <c r="H123" s="9"/>
      <c r="I123" s="66">
        <f>IF('Input Data'!H40&gt;0,0.25,0)</f>
        <v>0</v>
      </c>
      <c r="J123" s="37" t="s">
        <v>1</v>
      </c>
      <c r="K123" s="50">
        <f>IF('Input Data'!$F$31=1,0.05,IF('Input Data'!$F$31=2,Scales!$L$5,IF('Input Data'!$F$31=3,Scales!$L$6,IF('Input Data'!$F$31=4,Scales!$L$7,0.7))))</f>
        <v>0.05</v>
      </c>
      <c r="L123" s="43" t="s">
        <v>2</v>
      </c>
      <c r="M123" s="859">
        <f>'Input Data'!$H$40</f>
        <v>0</v>
      </c>
      <c r="N123" s="858" t="s">
        <v>25</v>
      </c>
      <c r="O123" s="859">
        <f>IF('Input Data'!$H$40&gt;0,$Q$115,0)</f>
        <v>0</v>
      </c>
      <c r="P123" s="68"/>
      <c r="Q123" s="832">
        <f>IF('Input Data'!$H$40&gt;0,IF('Input Data'!$D$33="N",(I123*K123*M123/M124*O123),0),0)</f>
        <v>0</v>
      </c>
    </row>
    <row r="124" spans="1:17" x14ac:dyDescent="0.2">
      <c r="A124" s="1714"/>
      <c r="B124" s="1713"/>
      <c r="C124" s="1713"/>
      <c r="D124" s="1713"/>
      <c r="E124" s="4"/>
      <c r="F124" s="4"/>
      <c r="G124" s="4"/>
      <c r="H124" s="4"/>
      <c r="I124" s="66"/>
      <c r="J124" s="51"/>
      <c r="K124" s="67"/>
      <c r="L124" s="68"/>
      <c r="M124" s="862">
        <f>IF('Input Data'!$H$40&gt;0,'Input Data'!$H$48,0)</f>
        <v>0</v>
      </c>
      <c r="N124" s="861"/>
      <c r="O124" s="860"/>
      <c r="P124" s="68"/>
      <c r="Q124" s="833"/>
    </row>
    <row r="125" spans="1:17" ht="8.25" customHeight="1" x14ac:dyDescent="0.2">
      <c r="A125" s="5"/>
      <c r="B125" s="4"/>
      <c r="C125" s="4"/>
      <c r="D125" s="4"/>
      <c r="E125" s="4"/>
      <c r="F125" s="4"/>
      <c r="G125" s="4"/>
      <c r="H125" s="4"/>
      <c r="I125" s="66"/>
      <c r="J125" s="51"/>
      <c r="K125" s="67"/>
      <c r="L125" s="68"/>
      <c r="M125" s="860"/>
      <c r="N125" s="861"/>
      <c r="O125" s="860"/>
      <c r="P125" s="68"/>
      <c r="Q125" s="833"/>
    </row>
    <row r="126" spans="1:17" x14ac:dyDescent="0.2">
      <c r="A126" s="1715" t="s">
        <v>174</v>
      </c>
      <c r="B126" s="1726"/>
      <c r="C126" s="1710"/>
      <c r="D126" s="1710"/>
      <c r="E126" s="390"/>
      <c r="F126" s="390"/>
      <c r="G126" s="390"/>
      <c r="H126" s="390"/>
      <c r="I126" s="66">
        <f>IF('Input Data'!$H$41&gt;0,1.25,0)</f>
        <v>0</v>
      </c>
      <c r="J126" s="37" t="s">
        <v>1</v>
      </c>
      <c r="K126" s="50">
        <f>IF('Input Data'!$F$31=1,0.05,IF('Input Data'!$F$31=2,Scales!$L$5,IF('Input Data'!$F$31=3,Scales!$L$6,IF('Input Data'!$F$31=4,Scales!$L$7,0.7))))</f>
        <v>0.05</v>
      </c>
      <c r="L126" s="43" t="s">
        <v>2</v>
      </c>
      <c r="M126" s="859">
        <f>'Input Data'!$H$41</f>
        <v>0</v>
      </c>
      <c r="N126" s="858" t="s">
        <v>25</v>
      </c>
      <c r="O126" s="859">
        <f>IF('Input Data'!$H$41&gt;0,$Q$115,0)</f>
        <v>0</v>
      </c>
      <c r="P126" s="26"/>
      <c r="Q126" s="832">
        <f>IF('Input Data'!$H$41&gt;0,IF('Input Data'!$D$33="N",(I126*K126*M126/M127*O126),0),0)</f>
        <v>0</v>
      </c>
    </row>
    <row r="127" spans="1:17" x14ac:dyDescent="0.2">
      <c r="A127" s="1736"/>
      <c r="B127" s="1655"/>
      <c r="C127" s="1655"/>
      <c r="D127" s="1655"/>
      <c r="E127" s="19"/>
      <c r="F127" s="19"/>
      <c r="G127" s="19"/>
      <c r="H127" s="19"/>
      <c r="I127" s="66"/>
      <c r="J127" s="51"/>
      <c r="K127" s="67"/>
      <c r="L127" s="68"/>
      <c r="M127" s="862">
        <f>IF('Input Data'!$H$41&gt;0,'Input Data'!$H$48,0)</f>
        <v>0</v>
      </c>
      <c r="N127" s="861"/>
      <c r="O127" s="860"/>
      <c r="P127" s="68"/>
      <c r="Q127" s="833"/>
    </row>
    <row r="128" spans="1:17" ht="10.5" customHeight="1" x14ac:dyDescent="0.2">
      <c r="A128" s="64"/>
      <c r="B128" s="65"/>
      <c r="C128" s="19"/>
      <c r="D128" s="19"/>
      <c r="E128" s="19"/>
      <c r="F128" s="19"/>
      <c r="G128" s="19"/>
      <c r="H128" s="19"/>
      <c r="I128" s="66"/>
      <c r="J128" s="51"/>
      <c r="K128" s="67"/>
      <c r="L128" s="68"/>
      <c r="M128" s="860"/>
      <c r="N128" s="861"/>
      <c r="O128" s="860"/>
      <c r="P128" s="68"/>
      <c r="Q128" s="833"/>
    </row>
    <row r="129" spans="1:17" x14ac:dyDescent="0.2">
      <c r="A129" s="1715" t="s">
        <v>175</v>
      </c>
      <c r="B129" s="1726"/>
      <c r="C129" s="1710"/>
      <c r="D129" s="1710"/>
      <c r="E129" s="1655"/>
      <c r="F129" s="1655"/>
      <c r="G129" s="390"/>
      <c r="H129" s="390"/>
      <c r="I129" s="70">
        <f>IF('Input Data'!$H$42&gt;0,0.33,0)</f>
        <v>0</v>
      </c>
      <c r="J129" s="37" t="s">
        <v>1</v>
      </c>
      <c r="K129" s="50">
        <f>IF('Input Data'!$F$31=1,0.05,IF('Input Data'!$F$31=2,Scales!$L$5,IF('Input Data'!$F$31=3,Scales!$L$6,IF('Input Data'!$F$31=4,Scales!$L$7,0.7))))</f>
        <v>0.05</v>
      </c>
      <c r="L129" s="43" t="s">
        <v>2</v>
      </c>
      <c r="M129" s="859">
        <f>'Input Data'!$H$42</f>
        <v>0</v>
      </c>
      <c r="N129" s="858" t="s">
        <v>25</v>
      </c>
      <c r="O129" s="859">
        <f>IF('Input Data'!$H$42&gt;0,$Q$115,0)</f>
        <v>0</v>
      </c>
      <c r="P129" s="26"/>
      <c r="Q129" s="832">
        <f>IF('Input Data'!$H$42&gt;0,IF('Input Data'!$D$33="N",(I129*K129*M129/M130*O129),0),0)</f>
        <v>0</v>
      </c>
    </row>
    <row r="130" spans="1:17" x14ac:dyDescent="0.2">
      <c r="A130" s="1736"/>
      <c r="B130" s="1655"/>
      <c r="C130" s="1655"/>
      <c r="D130" s="1655"/>
      <c r="E130" s="1655"/>
      <c r="F130" s="1655"/>
      <c r="G130" s="19"/>
      <c r="H130" s="19"/>
      <c r="I130" s="66"/>
      <c r="J130" s="51"/>
      <c r="K130" s="50"/>
      <c r="L130" s="43"/>
      <c r="M130" s="863">
        <f>IF('Input Data'!$H$42&gt;0,'Input Data'!$H$48,0)</f>
        <v>0</v>
      </c>
      <c r="N130" s="861"/>
      <c r="O130" s="864"/>
      <c r="P130" s="68"/>
      <c r="Q130" s="833"/>
    </row>
    <row r="131" spans="1:17" ht="9.75" customHeight="1" x14ac:dyDescent="0.2">
      <c r="A131" s="400"/>
      <c r="B131" s="30"/>
      <c r="C131" s="30"/>
      <c r="D131" s="30"/>
      <c r="E131" s="30"/>
      <c r="F131" s="30"/>
      <c r="G131" s="30"/>
      <c r="H131" s="30"/>
      <c r="I131" s="30"/>
      <c r="J131" s="30"/>
      <c r="K131" s="30"/>
      <c r="L131" s="30"/>
      <c r="M131" s="865"/>
      <c r="N131" s="865"/>
      <c r="O131" s="865"/>
      <c r="P131" s="30"/>
      <c r="Q131" s="834"/>
    </row>
    <row r="132" spans="1:17" x14ac:dyDescent="0.2">
      <c r="A132" s="1711" t="s">
        <v>144</v>
      </c>
      <c r="B132" s="1712"/>
      <c r="C132" s="1712"/>
      <c r="D132" s="1712"/>
      <c r="E132" s="1713"/>
      <c r="F132" s="401"/>
      <c r="G132" s="66">
        <f>IF('Input Data'!$H$43&gt;0,0.33,0)</f>
        <v>0</v>
      </c>
      <c r="H132" s="133" t="s">
        <v>1</v>
      </c>
      <c r="I132" s="66">
        <f>IF('Input Data'!$H$43&gt;0,1.25,0)</f>
        <v>0</v>
      </c>
      <c r="J132" s="37" t="s">
        <v>1</v>
      </c>
      <c r="K132" s="50">
        <f>IF('Input Data'!$F$31=1,0.05,IF('Input Data'!$F$31=2,Scales!$L$5,IF('Input Data'!$F$31=3,Scales!$L$6,IF('Input Data'!$F$31=4,Scales!$L$7,0.7))))</f>
        <v>0.05</v>
      </c>
      <c r="L132" s="43" t="s">
        <v>2</v>
      </c>
      <c r="M132" s="859">
        <f>'Input Data'!$H$43</f>
        <v>0</v>
      </c>
      <c r="N132" s="858" t="s">
        <v>25</v>
      </c>
      <c r="O132" s="859">
        <f>IF('Input Data'!$H$43&gt;0,$Q$115,0)</f>
        <v>0</v>
      </c>
      <c r="P132" s="68"/>
      <c r="Q132" s="832">
        <f>IF('Input Data'!$H$43&gt;0,IF('Input Data'!$D$33="N",(G132*I132*K132*M132/M133*O132),0),0)</f>
        <v>0</v>
      </c>
    </row>
    <row r="133" spans="1:17" x14ac:dyDescent="0.2">
      <c r="A133" s="1714"/>
      <c r="B133" s="1713"/>
      <c r="C133" s="1713"/>
      <c r="D133" s="1713"/>
      <c r="E133" s="1713"/>
      <c r="F133" s="401"/>
      <c r="G133" s="401"/>
      <c r="H133" s="401"/>
      <c r="I133" s="66"/>
      <c r="J133" s="51"/>
      <c r="K133" s="50"/>
      <c r="L133" s="68"/>
      <c r="M133" s="862">
        <f>IF('Input Data'!$H$43&gt;0,'Input Data'!$H$48,0)</f>
        <v>0</v>
      </c>
      <c r="N133" s="861"/>
      <c r="O133" s="860"/>
      <c r="P133" s="68"/>
      <c r="Q133" s="833"/>
    </row>
    <row r="134" spans="1:17" ht="8.25" customHeight="1" x14ac:dyDescent="0.2">
      <c r="A134" s="6"/>
      <c r="B134" s="9"/>
      <c r="C134" s="9"/>
      <c r="D134" s="9"/>
      <c r="E134" s="401"/>
      <c r="F134" s="401"/>
      <c r="G134" s="401"/>
      <c r="H134" s="401"/>
      <c r="I134" s="66"/>
      <c r="J134" s="51"/>
      <c r="K134" s="67"/>
      <c r="L134" s="68"/>
      <c r="M134" s="860"/>
      <c r="N134" s="861"/>
      <c r="O134" s="860"/>
      <c r="P134" s="68"/>
      <c r="Q134" s="833"/>
    </row>
    <row r="135" spans="1:17" x14ac:dyDescent="0.2">
      <c r="A135" s="1711" t="s">
        <v>145</v>
      </c>
      <c r="B135" s="1712"/>
      <c r="C135" s="1712"/>
      <c r="D135" s="1712"/>
      <c r="E135" s="1713"/>
      <c r="F135" s="401"/>
      <c r="G135" s="66">
        <f>IF('Input Data'!$H$44&gt;0,0.33,0)</f>
        <v>0</v>
      </c>
      <c r="H135" s="133" t="s">
        <v>1</v>
      </c>
      <c r="I135" s="71">
        <f>IF('Input Data'!$H$44&gt;0,0.25,0)</f>
        <v>0</v>
      </c>
      <c r="J135" s="37" t="s">
        <v>1</v>
      </c>
      <c r="K135" s="50">
        <f>IF('Input Data'!$F$31=1,0.05,IF('Input Data'!$F$31=2,Scales!$L$5,IF('Input Data'!$F$31=3,Scales!$L$6,IF('Input Data'!$F$31=4,Scales!$L$7,0.7))))</f>
        <v>0.05</v>
      </c>
      <c r="L135" s="43" t="s">
        <v>2</v>
      </c>
      <c r="M135" s="859">
        <f>'Input Data'!$H$44</f>
        <v>0</v>
      </c>
      <c r="N135" s="858" t="s">
        <v>25</v>
      </c>
      <c r="O135" s="859">
        <f>IF('Input Data'!$H$44&gt;0,$Q$115,0)</f>
        <v>0</v>
      </c>
      <c r="P135" s="68"/>
      <c r="Q135" s="832">
        <f>IF('Input Data'!$H$44&gt;0,IF('Input Data'!$D$33="N",(G135*I135*K135*M135/M136*O135),0),0)</f>
        <v>0</v>
      </c>
    </row>
    <row r="136" spans="1:17" x14ac:dyDescent="0.2">
      <c r="A136" s="1714"/>
      <c r="B136" s="1713"/>
      <c r="C136" s="1713"/>
      <c r="D136" s="1713"/>
      <c r="E136" s="1713"/>
      <c r="F136" s="401"/>
      <c r="G136" s="401"/>
      <c r="H136" s="401"/>
      <c r="I136" s="66"/>
      <c r="J136" s="51"/>
      <c r="K136" s="50"/>
      <c r="L136" s="68"/>
      <c r="M136" s="862">
        <f>IF('Input Data'!$H$44&gt;0,'Input Data'!$H$48,0)</f>
        <v>0</v>
      </c>
      <c r="N136" s="861"/>
      <c r="O136" s="860"/>
      <c r="P136" s="68"/>
      <c r="Q136" s="833"/>
    </row>
    <row r="137" spans="1:17" ht="7.5" customHeight="1" x14ac:dyDescent="0.2">
      <c r="A137" s="6"/>
      <c r="B137" s="9"/>
      <c r="C137" s="9"/>
      <c r="D137" s="9"/>
      <c r="E137" s="401"/>
      <c r="F137" s="401"/>
      <c r="G137" s="401"/>
      <c r="H137" s="401"/>
      <c r="I137" s="66"/>
      <c r="J137" s="51"/>
      <c r="K137" s="67"/>
      <c r="L137" s="68"/>
      <c r="M137" s="860"/>
      <c r="N137" s="861"/>
      <c r="O137" s="860"/>
      <c r="P137" s="68"/>
      <c r="Q137" s="833"/>
    </row>
    <row r="138" spans="1:17" x14ac:dyDescent="0.2">
      <c r="A138" s="1711" t="s">
        <v>127</v>
      </c>
      <c r="B138" s="1712"/>
      <c r="C138" s="1712"/>
      <c r="D138" s="1712"/>
      <c r="E138" s="401"/>
      <c r="F138" s="401"/>
      <c r="G138" s="66">
        <f>IF('Input Data'!$H$45&gt;0,1.25,0)</f>
        <v>0</v>
      </c>
      <c r="H138" s="133" t="s">
        <v>1</v>
      </c>
      <c r="I138" s="71">
        <f>IF('Input Data'!$H$45&gt;0,0.25,0)</f>
        <v>0</v>
      </c>
      <c r="J138" s="37" t="s">
        <v>1</v>
      </c>
      <c r="K138" s="50">
        <f>IF('Input Data'!$F$31=1,0.05,IF('Input Data'!$F$31=2,Scales!$L$5,IF('Input Data'!$F$31=3,Scales!$L$6,IF('Input Data'!$F$31=4,Scales!$L$7,0.7))))</f>
        <v>0.05</v>
      </c>
      <c r="L138" s="43" t="s">
        <v>2</v>
      </c>
      <c r="M138" s="859">
        <f>'Input Data'!$H$45</f>
        <v>0</v>
      </c>
      <c r="N138" s="858" t="s">
        <v>25</v>
      </c>
      <c r="O138" s="859">
        <f>IF('Input Data'!$H$45&gt;0,$Q$115,0)</f>
        <v>0</v>
      </c>
      <c r="P138" s="68"/>
      <c r="Q138" s="832">
        <f>IF('Input Data'!$H$45&gt;0,IF('Input Data'!$D$33="N",(G138*I138*K138*M138/M139*O138),0),0)</f>
        <v>0</v>
      </c>
    </row>
    <row r="139" spans="1:17" x14ac:dyDescent="0.2">
      <c r="A139" s="1714"/>
      <c r="B139" s="1713"/>
      <c r="C139" s="1713"/>
      <c r="D139" s="1713"/>
      <c r="E139" s="401"/>
      <c r="F139" s="401"/>
      <c r="G139" s="401"/>
      <c r="H139" s="401"/>
      <c r="I139" s="66"/>
      <c r="J139" s="51"/>
      <c r="K139" s="50"/>
      <c r="L139" s="68"/>
      <c r="M139" s="862">
        <f>IF('Input Data'!$H$45&gt;0,'Input Data'!$H$48,0)</f>
        <v>0</v>
      </c>
      <c r="N139" s="861"/>
      <c r="O139" s="860"/>
      <c r="P139" s="68"/>
      <c r="Q139" s="833"/>
    </row>
    <row r="140" spans="1:17" ht="9.75" customHeight="1" x14ac:dyDescent="0.2">
      <c r="A140" s="6"/>
      <c r="B140" s="9"/>
      <c r="C140" s="9"/>
      <c r="D140" s="9"/>
      <c r="E140" s="401"/>
      <c r="F140" s="401"/>
      <c r="G140" s="401"/>
      <c r="H140" s="401"/>
      <c r="I140" s="66"/>
      <c r="J140" s="51"/>
      <c r="K140" s="67"/>
      <c r="L140" s="68"/>
      <c r="M140" s="860"/>
      <c r="N140" s="861"/>
      <c r="O140" s="860"/>
      <c r="P140" s="68"/>
      <c r="Q140" s="833"/>
    </row>
    <row r="141" spans="1:17" x14ac:dyDescent="0.2">
      <c r="A141" s="1711" t="s">
        <v>146</v>
      </c>
      <c r="B141" s="1712"/>
      <c r="C141" s="1712"/>
      <c r="D141" s="1712"/>
      <c r="E141" s="66">
        <f>IF('Input Data'!$H$46&gt;0,1.25,0)</f>
        <v>0</v>
      </c>
      <c r="F141" s="133" t="s">
        <v>1</v>
      </c>
      <c r="G141" s="66">
        <f>IF('Input Data'!$H$46&gt;0,0.33,0)</f>
        <v>0</v>
      </c>
      <c r="H141" s="133" t="s">
        <v>1</v>
      </c>
      <c r="I141" s="71">
        <f>IF('Input Data'!$H$46&gt;0,0.25,0)</f>
        <v>0</v>
      </c>
      <c r="J141" s="37" t="s">
        <v>1</v>
      </c>
      <c r="K141" s="50">
        <f>IF('Input Data'!$F$31=1,0.05,IF('Input Data'!$F$31=2,Scales!$L$5,IF('Input Data'!$F$31=3,Scales!$L$6,IF('Input Data'!$F$31=4,Scales!$L$7,0.7))))</f>
        <v>0.05</v>
      </c>
      <c r="L141" s="43" t="s">
        <v>2</v>
      </c>
      <c r="M141" s="859">
        <f>'Input Data'!$H$46</f>
        <v>0</v>
      </c>
      <c r="N141" s="858" t="s">
        <v>25</v>
      </c>
      <c r="O141" s="859">
        <f>IF('Input Data'!$H$46&gt;0,$Q$115,0)</f>
        <v>0</v>
      </c>
      <c r="P141" s="68"/>
      <c r="Q141" s="832">
        <f>IF('Input Data'!$H$46&gt;0,IF('Input Data'!$D$33="N",(E141*G141*I141*K141*M141/M142*O141),0),0)</f>
        <v>0</v>
      </c>
    </row>
    <row r="142" spans="1:17" ht="22.5" customHeight="1" x14ac:dyDescent="0.2">
      <c r="A142" s="1714"/>
      <c r="B142" s="1713"/>
      <c r="C142" s="1713"/>
      <c r="D142" s="1713"/>
      <c r="E142" s="399"/>
      <c r="F142" s="399"/>
      <c r="G142" s="399"/>
      <c r="H142" s="399"/>
      <c r="I142" s="66"/>
      <c r="J142" s="51"/>
      <c r="K142" s="50"/>
      <c r="L142" s="68"/>
      <c r="M142" s="862">
        <f>IF('Input Data'!$H$46&gt;0,'Input Data'!$H$48,0)</f>
        <v>0</v>
      </c>
      <c r="N142" s="861"/>
      <c r="O142" s="860"/>
      <c r="P142" s="68"/>
      <c r="Q142" s="835"/>
    </row>
    <row r="143" spans="1:17" x14ac:dyDescent="0.2">
      <c r="A143" s="5"/>
      <c r="B143" s="399"/>
      <c r="C143" s="399"/>
      <c r="D143" s="399"/>
      <c r="E143" s="399"/>
      <c r="F143" s="399"/>
      <c r="G143" s="399"/>
      <c r="H143" s="399"/>
      <c r="I143" s="66"/>
      <c r="J143" s="51"/>
      <c r="K143" s="50"/>
      <c r="L143" s="68"/>
      <c r="M143" s="68"/>
      <c r="N143" s="69"/>
      <c r="O143" s="136" t="s">
        <v>164</v>
      </c>
      <c r="P143" s="68"/>
      <c r="Q143" s="836">
        <f>IF(Q19=0,0,SUM(Q120:Q142))</f>
        <v>0</v>
      </c>
    </row>
    <row r="144" spans="1:17" ht="15.75" thickBot="1" x14ac:dyDescent="0.25">
      <c r="A144" s="64"/>
      <c r="B144" s="65"/>
      <c r="C144" s="19"/>
      <c r="D144" s="23"/>
      <c r="E144" s="30"/>
      <c r="F144" s="19"/>
      <c r="G144" s="19"/>
      <c r="H144" s="19"/>
      <c r="I144" s="66"/>
      <c r="J144" s="51"/>
      <c r="K144" s="67"/>
      <c r="L144" s="68"/>
      <c r="M144" s="68"/>
      <c r="N144" s="69"/>
      <c r="O144" s="68"/>
      <c r="P144" s="68"/>
      <c r="Q144" s="837"/>
    </row>
    <row r="145" spans="1:17" ht="11.25" customHeight="1" x14ac:dyDescent="0.2">
      <c r="A145" s="1731"/>
      <c r="B145" s="1708"/>
      <c r="C145" s="1708"/>
      <c r="D145" s="1708"/>
      <c r="E145" s="1708"/>
      <c r="F145" s="1708"/>
      <c r="G145" s="1708"/>
      <c r="H145" s="1708"/>
      <c r="I145" s="1708"/>
      <c r="J145" s="1708"/>
      <c r="K145" s="1708"/>
      <c r="L145" s="452"/>
      <c r="M145" s="452"/>
      <c r="N145" s="297"/>
      <c r="O145" s="298"/>
      <c r="P145" s="296"/>
      <c r="Q145" s="838"/>
    </row>
    <row r="146" spans="1:17" x14ac:dyDescent="0.2">
      <c r="A146" s="471" t="s">
        <v>130</v>
      </c>
      <c r="B146" s="19"/>
      <c r="C146" s="50"/>
      <c r="D146" s="19"/>
      <c r="E146" s="19"/>
      <c r="F146" s="19"/>
      <c r="G146" s="19"/>
      <c r="H146" s="19"/>
      <c r="I146" s="30"/>
      <c r="J146" s="37"/>
      <c r="K146" s="50">
        <f>IF('Input Data'!$F$31=1,0.05,IF('Input Data'!$F$31=2,Scales!$L$5,IF('Input Data'!$F$31=3,Scales!$L$6,IF('Input Data'!$F$31=4,Scales!$L$7,0.7))))</f>
        <v>0.05</v>
      </c>
      <c r="L146" s="43" t="s">
        <v>2</v>
      </c>
      <c r="M146" s="866">
        <f>IF('Input Data'!$H$50&gt;0,'Input Data'!H$50,0)</f>
        <v>0</v>
      </c>
      <c r="N146" s="858" t="s">
        <v>25</v>
      </c>
      <c r="O146" s="859">
        <f>$Q$117</f>
        <v>0</v>
      </c>
      <c r="P146" s="47"/>
      <c r="Q146" s="839">
        <f>IF('Input Data'!D33="Y",0,IF(J20=0,0,K146*M146/M147*O146))</f>
        <v>0</v>
      </c>
    </row>
    <row r="147" spans="1:17" x14ac:dyDescent="0.2">
      <c r="A147" s="45"/>
      <c r="B147" s="19"/>
      <c r="C147" s="19"/>
      <c r="D147" s="19"/>
      <c r="E147" s="19"/>
      <c r="F147" s="19"/>
      <c r="G147" s="19"/>
      <c r="H147" s="19"/>
      <c r="I147" s="30"/>
      <c r="J147" s="37"/>
      <c r="K147" s="50"/>
      <c r="L147" s="43"/>
      <c r="M147" s="859">
        <f>IF('Input Data'!$H$50&gt;0,'Input Data'!H$50,0)</f>
        <v>0</v>
      </c>
      <c r="N147" s="858"/>
      <c r="O147" s="859"/>
      <c r="P147" s="47"/>
      <c r="Q147" s="840"/>
    </row>
    <row r="148" spans="1:17" ht="7.5" customHeight="1" thickBot="1" x14ac:dyDescent="0.25">
      <c r="A148" s="124"/>
      <c r="B148" s="12"/>
      <c r="C148" s="86"/>
      <c r="D148" s="86"/>
      <c r="E148" s="86"/>
      <c r="F148" s="86"/>
      <c r="G148" s="86"/>
      <c r="H148" s="86"/>
      <c r="I148" s="134"/>
      <c r="J148" s="85"/>
      <c r="K148" s="87"/>
      <c r="L148" s="13"/>
      <c r="M148" s="13"/>
      <c r="N148" s="80"/>
      <c r="O148" s="13"/>
      <c r="P148" s="13"/>
      <c r="Q148" s="841"/>
    </row>
    <row r="149" spans="1:17" ht="9" customHeight="1" x14ac:dyDescent="0.2">
      <c r="A149" s="64"/>
      <c r="B149" s="65"/>
      <c r="C149" s="19"/>
      <c r="D149" s="19"/>
      <c r="E149" s="19"/>
      <c r="F149" s="19"/>
      <c r="G149" s="19"/>
      <c r="H149" s="19"/>
      <c r="I149" s="66"/>
      <c r="J149" s="51"/>
      <c r="K149" s="67"/>
      <c r="L149" s="68"/>
      <c r="M149" s="68"/>
      <c r="N149" s="69"/>
      <c r="O149" s="68"/>
      <c r="P149" s="68"/>
      <c r="Q149" s="822"/>
    </row>
    <row r="150" spans="1:17" x14ac:dyDescent="0.2">
      <c r="A150" s="16" t="s">
        <v>198</v>
      </c>
      <c r="B150" s="65"/>
      <c r="C150" s="19"/>
      <c r="D150" s="19"/>
      <c r="E150" s="19"/>
      <c r="F150" s="19"/>
      <c r="G150" s="19"/>
      <c r="H150" s="19"/>
      <c r="I150" s="1496">
        <f>IF('Input Data'!$F$31=1,1,IF('Input Data'!$F$31&lt;5,'Input Data'!$D$32,1))</f>
        <v>1</v>
      </c>
      <c r="J150" s="19"/>
      <c r="K150" s="67">
        <f>IF('Input Data'!$E$34="y",0.01,0)</f>
        <v>0</v>
      </c>
      <c r="L150" s="41" t="s">
        <v>1</v>
      </c>
      <c r="M150" s="50">
        <f>IF('Input Data'!$F$31=1,0.05,IF('Input Data'!$F$31=2,Scales!$L$5,IF('Input Data'!$F$31=3,Scales!$L$6,IF('Input Data'!$F$31=4,Scales!$L$7,0.7))))</f>
        <v>0.05</v>
      </c>
      <c r="N150" s="41" t="s">
        <v>2</v>
      </c>
      <c r="O150" s="860">
        <f>IF('Input Data'!D33="N",IF('Input Data'!E34="y",$Q$20,0),0)</f>
        <v>0</v>
      </c>
      <c r="P150" s="43" t="s">
        <v>3</v>
      </c>
      <c r="Q150" s="826">
        <f>IF('Input Data'!D33="Y",0,IF(Q20=0,0,(I150*K150*M150*O150)))</f>
        <v>0</v>
      </c>
    </row>
    <row r="151" spans="1:17" ht="15.75" thickBot="1" x14ac:dyDescent="0.25">
      <c r="A151" s="11"/>
      <c r="B151" s="12"/>
      <c r="C151" s="134"/>
      <c r="D151" s="135"/>
      <c r="E151" s="135"/>
      <c r="F151" s="135"/>
      <c r="G151" s="135"/>
      <c r="H151" s="135"/>
      <c r="I151" s="165"/>
      <c r="J151" s="166"/>
      <c r="K151" s="13"/>
      <c r="L151" s="167"/>
      <c r="M151" s="13"/>
      <c r="N151" s="80"/>
      <c r="O151" s="867"/>
      <c r="P151" s="81"/>
      <c r="Q151" s="841"/>
    </row>
    <row r="152" spans="1:17" x14ac:dyDescent="0.2">
      <c r="A152" s="17"/>
      <c r="B152" s="65"/>
      <c r="C152" s="66"/>
      <c r="D152" s="37"/>
      <c r="E152" s="37"/>
      <c r="F152" s="37"/>
      <c r="G152" s="37"/>
      <c r="H152" s="37"/>
      <c r="I152" s="38"/>
      <c r="J152" s="39"/>
      <c r="K152" s="68"/>
      <c r="L152" s="470"/>
      <c r="M152" s="68"/>
      <c r="N152" s="69"/>
      <c r="O152" s="860"/>
      <c r="P152" s="43"/>
      <c r="Q152" s="822"/>
    </row>
    <row r="153" spans="1:17" x14ac:dyDescent="0.2">
      <c r="A153" s="480" t="s">
        <v>332</v>
      </c>
      <c r="B153" s="65"/>
      <c r="C153" s="66"/>
      <c r="D153" s="37"/>
      <c r="E153" s="37"/>
      <c r="F153" s="37"/>
      <c r="G153" s="37"/>
      <c r="H153" s="37"/>
      <c r="I153" s="38"/>
      <c r="J153" s="39"/>
      <c r="K153" s="68"/>
      <c r="L153" s="470"/>
      <c r="M153" s="876">
        <v>1.25</v>
      </c>
      <c r="N153" s="69" t="s">
        <v>25</v>
      </c>
      <c r="O153" s="860">
        <f>'WTW Calculations'!S46</f>
        <v>0</v>
      </c>
      <c r="P153" s="43"/>
      <c r="Q153" s="842">
        <f>M153*O153</f>
        <v>0</v>
      </c>
    </row>
    <row r="154" spans="1:17" ht="15.75" thickBot="1" x14ac:dyDescent="0.25">
      <c r="A154" s="11"/>
      <c r="B154" s="12"/>
      <c r="C154" s="134"/>
      <c r="D154" s="135"/>
      <c r="E154" s="135"/>
      <c r="F154" s="135"/>
      <c r="G154" s="135"/>
      <c r="H154" s="135"/>
      <c r="I154" s="165"/>
      <c r="J154" s="166"/>
      <c r="K154" s="13"/>
      <c r="L154" s="167"/>
      <c r="M154" s="13"/>
      <c r="N154" s="80"/>
      <c r="O154" s="13"/>
      <c r="P154" s="81"/>
      <c r="Q154" s="841"/>
    </row>
    <row r="155" spans="1:17" ht="16.5" thickBot="1" x14ac:dyDescent="0.25">
      <c r="A155" s="440"/>
      <c r="B155" s="441"/>
      <c r="C155" s="442"/>
      <c r="D155" s="441"/>
      <c r="E155" s="441"/>
      <c r="F155" s="441"/>
      <c r="G155" s="443"/>
      <c r="H155" s="441"/>
      <c r="I155" s="441"/>
      <c r="J155" s="441"/>
      <c r="K155" s="444"/>
      <c r="L155" s="444"/>
      <c r="M155" s="442"/>
      <c r="N155" s="442"/>
      <c r="O155" s="442"/>
      <c r="P155" s="439" t="s">
        <v>319</v>
      </c>
      <c r="Q155" s="843">
        <f>IF(Q19=0,0,Q143+Q146+Q150+Q153)</f>
        <v>0</v>
      </c>
    </row>
    <row r="156" spans="1:17" ht="18.75" thickTop="1" x14ac:dyDescent="0.2">
      <c r="A156" s="83" t="s">
        <v>318</v>
      </c>
      <c r="B156" s="65"/>
      <c r="C156" s="65"/>
      <c r="D156" s="65"/>
      <c r="E156" s="65"/>
      <c r="F156" s="65"/>
      <c r="G156" s="65"/>
      <c r="H156" s="65"/>
      <c r="I156" s="65"/>
      <c r="J156" s="65"/>
      <c r="K156" s="65"/>
      <c r="L156" s="65"/>
      <c r="M156" s="65"/>
      <c r="N156" s="51"/>
      <c r="O156" s="84"/>
      <c r="P156" s="65"/>
      <c r="Q156" s="822"/>
    </row>
    <row r="157" spans="1:17" x14ac:dyDescent="0.2">
      <c r="A157" s="1730" t="s">
        <v>173</v>
      </c>
      <c r="B157" s="1710"/>
      <c r="C157" s="1710"/>
      <c r="D157" s="37"/>
      <c r="E157" s="37"/>
      <c r="F157" s="37"/>
      <c r="G157" s="37"/>
      <c r="H157" s="37"/>
      <c r="I157" s="19"/>
      <c r="J157" s="19"/>
      <c r="K157" s="50">
        <f>IF('Input Data'!$F$31&lt;5,0,IF('Input Data'!$F$31=5,0.25,IF('Input Data'!$F$31=6,0.3)))</f>
        <v>0</v>
      </c>
      <c r="L157" s="39" t="s">
        <v>2</v>
      </c>
      <c r="M157" s="868">
        <f>'Input Data'!H54</f>
        <v>0</v>
      </c>
      <c r="N157" s="858" t="s">
        <v>25</v>
      </c>
      <c r="O157" s="868">
        <f>IF('Input Data'!$F$31&lt;4,0,$Q$115)</f>
        <v>0</v>
      </c>
      <c r="P157" s="26"/>
      <c r="Q157" s="832">
        <f>IF('Input Data'!$F$31&gt;4,IF('Input Data'!$H$54&gt;0,(K157*M157/M158*O157),0),0)</f>
        <v>0</v>
      </c>
    </row>
    <row r="158" spans="1:17" x14ac:dyDescent="0.2">
      <c r="A158" s="1709"/>
      <c r="B158" s="1710"/>
      <c r="C158" s="1710"/>
      <c r="D158" s="46"/>
      <c r="E158" s="46"/>
      <c r="F158" s="46"/>
      <c r="G158" s="46"/>
      <c r="H158" s="46"/>
      <c r="I158" s="19"/>
      <c r="J158" s="19"/>
      <c r="K158" s="50"/>
      <c r="L158" s="20"/>
      <c r="M158" s="869">
        <f>IF('Input Data'!F$31&gt;4,IF('Input Data'!$H$54&gt;0,'Input Data'!$H$48,0),0)</f>
        <v>0</v>
      </c>
      <c r="N158" s="858"/>
      <c r="O158" s="859"/>
      <c r="P158" s="26"/>
      <c r="Q158" s="840"/>
    </row>
    <row r="159" spans="1:17" x14ac:dyDescent="0.2">
      <c r="A159" s="45"/>
      <c r="B159" s="19"/>
      <c r="C159" s="20"/>
      <c r="D159" s="46"/>
      <c r="E159" s="46"/>
      <c r="F159" s="46"/>
      <c r="G159" s="46"/>
      <c r="H159" s="46"/>
      <c r="I159" s="19"/>
      <c r="J159" s="19"/>
      <c r="K159" s="50"/>
      <c r="L159" s="20"/>
      <c r="M159" s="870"/>
      <c r="N159" s="858"/>
      <c r="O159" s="859"/>
      <c r="P159" s="26"/>
      <c r="Q159" s="840"/>
    </row>
    <row r="160" spans="1:17" x14ac:dyDescent="0.2">
      <c r="A160" s="1715" t="s">
        <v>123</v>
      </c>
      <c r="B160" s="1726"/>
      <c r="C160" s="1710"/>
      <c r="D160" s="37"/>
      <c r="E160" s="37"/>
      <c r="F160" s="37"/>
      <c r="G160" s="37"/>
      <c r="H160" s="37"/>
      <c r="I160" s="70">
        <f>IF('Input Data'!$H$55&gt;0,1.25,0)</f>
        <v>0</v>
      </c>
      <c r="J160" s="19" t="s">
        <v>25</v>
      </c>
      <c r="K160" s="50">
        <f>IF('Input Data'!$F$31&lt;5,0,IF('Input Data'!$F$31=5,0.25,IF('Input Data'!$F$31=6,0.3)))</f>
        <v>0</v>
      </c>
      <c r="L160" s="39" t="s">
        <v>2</v>
      </c>
      <c r="M160" s="868">
        <f>'Input Data'!H55</f>
        <v>0</v>
      </c>
      <c r="N160" s="858" t="s">
        <v>25</v>
      </c>
      <c r="O160" s="868">
        <f>IF('Input Data'!$F$31&lt;4,0,$Q$115)</f>
        <v>0</v>
      </c>
      <c r="P160" s="43"/>
      <c r="Q160" s="832">
        <f>IF('Input Data'!$F$31&gt;4,IF('Input Data'!$H$55&gt;0,(I160*K160*M160/M161*O160),0),0)</f>
        <v>0</v>
      </c>
    </row>
    <row r="161" spans="1:17" x14ac:dyDescent="0.2">
      <c r="A161" s="1709"/>
      <c r="B161" s="1710"/>
      <c r="C161" s="1710"/>
      <c r="D161" s="51"/>
      <c r="E161" s="51"/>
      <c r="F161" s="51"/>
      <c r="G161" s="51"/>
      <c r="H161" s="51"/>
      <c r="I161" s="19"/>
      <c r="J161" s="19"/>
      <c r="K161" s="67"/>
      <c r="L161" s="65"/>
      <c r="M161" s="869">
        <f>IF('Input Data'!F$31&gt;4,IF('Input Data'!$H$55&gt;0,'Input Data'!$H$48,0),0)</f>
        <v>0</v>
      </c>
      <c r="N161" s="861"/>
      <c r="O161" s="860"/>
      <c r="P161" s="68"/>
      <c r="Q161" s="822"/>
    </row>
    <row r="162" spans="1:17" x14ac:dyDescent="0.2">
      <c r="A162" s="403"/>
      <c r="B162" s="390"/>
      <c r="C162" s="390"/>
      <c r="D162" s="51"/>
      <c r="E162" s="51"/>
      <c r="F162" s="51"/>
      <c r="G162" s="51"/>
      <c r="H162" s="51"/>
      <c r="I162" s="19"/>
      <c r="J162" s="19"/>
      <c r="K162" s="67"/>
      <c r="L162" s="65"/>
      <c r="M162" s="47"/>
      <c r="N162" s="69"/>
      <c r="O162" s="136" t="s">
        <v>164</v>
      </c>
      <c r="P162" s="68"/>
      <c r="Q162" s="844">
        <f>IF(Q19=0,0,SUM(Q157:Q161))</f>
        <v>0</v>
      </c>
    </row>
    <row r="163" spans="1:17" ht="15.75" thickBot="1" x14ac:dyDescent="0.25">
      <c r="A163" s="404"/>
      <c r="B163" s="405"/>
      <c r="C163" s="405"/>
      <c r="D163" s="85"/>
      <c r="E163" s="85"/>
      <c r="F163" s="85"/>
      <c r="G163" s="85"/>
      <c r="H163" s="85"/>
      <c r="I163" s="86"/>
      <c r="J163" s="86"/>
      <c r="K163" s="87"/>
      <c r="L163" s="12"/>
      <c r="M163" s="88"/>
      <c r="N163" s="80"/>
      <c r="O163" s="13"/>
      <c r="P163" s="13"/>
      <c r="Q163" s="841"/>
    </row>
    <row r="164" spans="1:17" ht="9" customHeight="1" x14ac:dyDescent="0.2">
      <c r="A164" s="455"/>
      <c r="B164" s="456"/>
      <c r="C164" s="456"/>
      <c r="D164" s="456"/>
      <c r="E164" s="456"/>
      <c r="F164" s="456"/>
      <c r="G164" s="456"/>
      <c r="H164" s="456"/>
      <c r="I164" s="456"/>
      <c r="J164" s="456"/>
      <c r="K164" s="456"/>
      <c r="L164" s="457"/>
      <c r="M164" s="457"/>
      <c r="N164" s="41"/>
      <c r="O164" s="47"/>
      <c r="P164" s="43"/>
      <c r="Q164" s="824"/>
    </row>
    <row r="165" spans="1:17" x14ac:dyDescent="0.2">
      <c r="A165" s="481" t="s">
        <v>130</v>
      </c>
      <c r="B165" s="19"/>
      <c r="C165" s="50"/>
      <c r="D165" s="19"/>
      <c r="E165" s="19"/>
      <c r="F165" s="19"/>
      <c r="G165" s="19"/>
      <c r="H165" s="19"/>
      <c r="I165" s="30"/>
      <c r="J165" s="37"/>
      <c r="K165" s="50">
        <f>IF('Input Data'!$F$31&lt;5,0,IF('Input Data'!$F$31=5,0.25,IF('Input Data'!$F$31=6,0.3)))</f>
        <v>0</v>
      </c>
      <c r="L165" s="43" t="s">
        <v>2</v>
      </c>
      <c r="M165" s="868">
        <f>IF('Input Data'!$F$31&gt;3,'Input Data'!$H$58,0)</f>
        <v>0</v>
      </c>
      <c r="N165" s="858" t="s">
        <v>25</v>
      </c>
      <c r="O165" s="859">
        <f>$Q$117</f>
        <v>0</v>
      </c>
      <c r="P165" s="47"/>
      <c r="Q165" s="845">
        <f>IF('Input Data'!$F$31&gt;4,IF('Input Data'!H58&gt;0,(K165*M165/M166*O165),0),0)</f>
        <v>0</v>
      </c>
    </row>
    <row r="166" spans="1:17" ht="18" x14ac:dyDescent="0.2">
      <c r="A166" s="45"/>
      <c r="B166" s="19"/>
      <c r="C166" s="19"/>
      <c r="D166" s="19"/>
      <c r="E166" s="19"/>
      <c r="F166" s="132"/>
      <c r="G166" s="19"/>
      <c r="H166" s="19"/>
      <c r="I166" s="30"/>
      <c r="J166" s="37"/>
      <c r="K166" s="50"/>
      <c r="L166" s="43"/>
      <c r="M166" s="857">
        <f>IF('Input Data'!$F$31&gt;4,'Input Data'!$H$50,0)</f>
        <v>0</v>
      </c>
      <c r="N166" s="858"/>
      <c r="O166" s="859"/>
      <c r="P166" s="47"/>
      <c r="Q166" s="840"/>
    </row>
    <row r="167" spans="1:17" ht="9.75" customHeight="1" thickBot="1" x14ac:dyDescent="0.25">
      <c r="A167" s="124"/>
      <c r="B167" s="12"/>
      <c r="C167" s="86"/>
      <c r="D167" s="86"/>
      <c r="E167" s="86"/>
      <c r="F167" s="86"/>
      <c r="G167" s="86"/>
      <c r="H167" s="86"/>
      <c r="I167" s="134"/>
      <c r="J167" s="85"/>
      <c r="K167" s="87"/>
      <c r="L167" s="13"/>
      <c r="M167" s="13"/>
      <c r="N167" s="80"/>
      <c r="O167" s="13"/>
      <c r="P167" s="13"/>
      <c r="Q167" s="841"/>
    </row>
    <row r="168" spans="1:17" x14ac:dyDescent="0.2">
      <c r="A168" s="64"/>
      <c r="B168" s="65"/>
      <c r="C168" s="19"/>
      <c r="D168" s="19"/>
      <c r="E168" s="19"/>
      <c r="F168" s="19"/>
      <c r="G168" s="19"/>
      <c r="H168" s="19"/>
      <c r="I168" s="66"/>
      <c r="J168" s="51"/>
      <c r="K168" s="67"/>
      <c r="L168" s="68"/>
      <c r="M168" s="68"/>
      <c r="N168" s="69"/>
      <c r="O168" s="68"/>
      <c r="P168" s="68"/>
      <c r="Q168" s="822"/>
    </row>
    <row r="169" spans="1:17" ht="15.75" x14ac:dyDescent="0.2">
      <c r="A169" s="430" t="s">
        <v>198</v>
      </c>
      <c r="B169" s="65"/>
      <c r="C169" s="19"/>
      <c r="D169" s="19"/>
      <c r="E169" s="19"/>
      <c r="F169" s="19"/>
      <c r="G169" s="19"/>
      <c r="H169" s="19"/>
      <c r="I169" s="1496">
        <f>IF('Input Data'!E34="N",0,IF('Input Data'!F31&gt;4,'Input Data'!H59/'Input Data'!H51))</f>
        <v>0</v>
      </c>
      <c r="J169" s="19"/>
      <c r="K169" s="67">
        <f>IF('Input Data'!$E$34="y",0.01,0)</f>
        <v>0</v>
      </c>
      <c r="L169" s="37" t="s">
        <v>1</v>
      </c>
      <c r="M169" s="50">
        <f>IF('Input Data'!$F$31&lt;5,0,IF('Input Data'!$F$31=5,0.25,IF('Input Data'!$F$31=6,0.3)))</f>
        <v>0</v>
      </c>
      <c r="N169" s="41" t="s">
        <v>2</v>
      </c>
      <c r="O169" s="860">
        <f>IF('Input Data'!F31&lt;5,0,IF('Input Data'!E34="y",'Input Data'!H59,0))</f>
        <v>0</v>
      </c>
      <c r="P169" s="43" t="s">
        <v>3</v>
      </c>
      <c r="Q169" s="837">
        <f>I169*K169*M169*O169</f>
        <v>0</v>
      </c>
    </row>
    <row r="170" spans="1:17" ht="15.75" thickBot="1" x14ac:dyDescent="0.25">
      <c r="A170" s="11"/>
      <c r="B170" s="12"/>
      <c r="C170" s="86"/>
      <c r="D170" s="86"/>
      <c r="E170" s="86"/>
      <c r="F170" s="86"/>
      <c r="G170" s="86"/>
      <c r="H170" s="86"/>
      <c r="I170" s="1477"/>
      <c r="J170" s="86"/>
      <c r="K170" s="87"/>
      <c r="L170" s="135"/>
      <c r="M170" s="427"/>
      <c r="N170" s="428"/>
      <c r="O170" s="871"/>
      <c r="P170" s="81"/>
      <c r="Q170" s="841"/>
    </row>
    <row r="171" spans="1:17" x14ac:dyDescent="0.2">
      <c r="A171" s="431"/>
      <c r="B171" s="299"/>
      <c r="C171" s="292"/>
      <c r="D171" s="292"/>
      <c r="E171" s="292"/>
      <c r="F171" s="292"/>
      <c r="G171" s="292"/>
      <c r="H171" s="292"/>
      <c r="I171" s="1478"/>
      <c r="J171" s="292"/>
      <c r="K171" s="472"/>
      <c r="L171" s="294"/>
      <c r="M171" s="295"/>
      <c r="N171" s="297"/>
      <c r="O171" s="872"/>
      <c r="P171" s="296"/>
      <c r="Q171" s="846"/>
    </row>
    <row r="172" spans="1:17" x14ac:dyDescent="0.2">
      <c r="A172" s="480" t="s">
        <v>332</v>
      </c>
      <c r="B172" s="65"/>
      <c r="C172" s="19"/>
      <c r="D172" s="19"/>
      <c r="E172" s="19"/>
      <c r="F172" s="19"/>
      <c r="G172" s="19"/>
      <c r="H172" s="19"/>
      <c r="I172" s="46"/>
      <c r="J172" s="19"/>
      <c r="K172" s="67"/>
      <c r="L172" s="37"/>
      <c r="M172" s="50">
        <f>IF(O172&gt;0,1.25,0)</f>
        <v>0</v>
      </c>
      <c r="N172" s="41" t="s">
        <v>25</v>
      </c>
      <c r="O172" s="873">
        <f>'WTW Calculations'!S55</f>
        <v>0</v>
      </c>
      <c r="P172" s="43"/>
      <c r="Q172" s="847">
        <f>O172*M172</f>
        <v>0</v>
      </c>
    </row>
    <row r="173" spans="1:17" ht="15.75" thickBot="1" x14ac:dyDescent="0.25">
      <c r="A173" s="11"/>
      <c r="B173" s="12"/>
      <c r="C173" s="86"/>
      <c r="D173" s="86"/>
      <c r="E173" s="86"/>
      <c r="F173" s="86"/>
      <c r="G173" s="86"/>
      <c r="H173" s="86"/>
      <c r="I173" s="1477"/>
      <c r="J173" s="86"/>
      <c r="K173" s="87"/>
      <c r="L173" s="135"/>
      <c r="M173" s="427"/>
      <c r="N173" s="428"/>
      <c r="O173" s="871"/>
      <c r="P173" s="81"/>
      <c r="Q173" s="841"/>
    </row>
    <row r="174" spans="1:17" ht="18.75" thickBot="1" x14ac:dyDescent="0.25">
      <c r="A174" s="445"/>
      <c r="B174" s="446"/>
      <c r="C174" s="33"/>
      <c r="D174" s="33"/>
      <c r="E174" s="447"/>
      <c r="F174" s="447"/>
      <c r="G174" s="33"/>
      <c r="H174" s="448"/>
      <c r="I174" s="1479"/>
      <c r="J174" s="449"/>
      <c r="K174" s="375"/>
      <c r="L174" s="15"/>
      <c r="M174" s="77"/>
      <c r="N174" s="77"/>
      <c r="O174" s="874" t="s">
        <v>320</v>
      </c>
      <c r="P174" s="77"/>
      <c r="Q174" s="843">
        <f>IF(16=0,0,(Q162+Q165+Q169+Q172))</f>
        <v>0</v>
      </c>
    </row>
    <row r="175" spans="1:17" ht="15.75" thickTop="1" x14ac:dyDescent="0.2">
      <c r="A175" s="431"/>
      <c r="B175" s="299"/>
      <c r="C175" s="292"/>
      <c r="D175" s="292"/>
      <c r="E175" s="292"/>
      <c r="F175" s="292"/>
      <c r="G175" s="292"/>
      <c r="H175" s="292"/>
      <c r="I175" s="1478"/>
      <c r="J175" s="292"/>
      <c r="K175" s="432"/>
      <c r="L175" s="294"/>
      <c r="M175" s="79"/>
      <c r="N175" s="296"/>
      <c r="O175" s="875"/>
      <c r="P175" s="296"/>
      <c r="Q175" s="846"/>
    </row>
    <row r="176" spans="1:17" ht="18" x14ac:dyDescent="0.2">
      <c r="A176" s="433" t="s">
        <v>316</v>
      </c>
      <c r="B176" s="65"/>
      <c r="C176" s="19"/>
      <c r="D176" s="19"/>
      <c r="E176" s="19"/>
      <c r="F176" s="19"/>
      <c r="G176" s="19"/>
      <c r="H176" s="19"/>
      <c r="I176" s="1496">
        <f>IF('Input Data'!$F$31=1,1,IF('Input Data'!$F$31&lt;5,'Input Data'!$D$32,IF('Input Data'!F31=5,'Input Data'!H57/'Input Data'!H48,1)))</f>
        <v>1</v>
      </c>
      <c r="J176" s="1476" t="s">
        <v>25</v>
      </c>
      <c r="K176" s="66">
        <f>IF('Input Data'!$E$35="y",0.07,0)</f>
        <v>0</v>
      </c>
      <c r="L176" s="37" t="s">
        <v>25</v>
      </c>
      <c r="M176" s="50">
        <f>IF('Input Data'!$F$31=1,0.05,IF('Input Data'!$F$31=2,0.25,IF('Input Data'!$F$31=3,0.55,IF('Input Data'!$F$31=4,0.7,IF('Input Data'!$F$31=5,0.95,1)))))</f>
        <v>0.05</v>
      </c>
      <c r="N176" s="41" t="s">
        <v>2</v>
      </c>
      <c r="O176" s="860">
        <f>Q118</f>
        <v>0</v>
      </c>
      <c r="P176" s="43" t="s">
        <v>3</v>
      </c>
      <c r="Q176" s="837">
        <f>I176*K176*M176*O176</f>
        <v>0</v>
      </c>
    </row>
    <row r="177" spans="1:17" ht="15.75" thickBot="1" x14ac:dyDescent="0.25">
      <c r="A177" s="11"/>
      <c r="B177" s="12"/>
      <c r="C177" s="86"/>
      <c r="D177" s="86"/>
      <c r="E177" s="86"/>
      <c r="F177" s="86"/>
      <c r="G177" s="86"/>
      <c r="H177" s="86"/>
      <c r="I177" s="86"/>
      <c r="J177" s="86"/>
      <c r="K177" s="134"/>
      <c r="L177" s="135"/>
      <c r="M177" s="62"/>
      <c r="N177" s="81"/>
      <c r="O177" s="13"/>
      <c r="P177" s="81"/>
      <c r="Q177" s="841"/>
    </row>
    <row r="178" spans="1:17" ht="16.5" thickBot="1" x14ac:dyDescent="0.25">
      <c r="A178" s="300"/>
      <c r="B178" s="14"/>
      <c r="C178" s="14"/>
      <c r="D178" s="14"/>
      <c r="E178" s="14"/>
      <c r="F178" s="14"/>
      <c r="G178" s="301"/>
      <c r="H178" s="14"/>
      <c r="I178" s="406"/>
      <c r="J178" s="14"/>
      <c r="K178" s="300"/>
      <c r="L178" s="14"/>
      <c r="M178" s="14"/>
      <c r="N178" s="14"/>
      <c r="O178" s="421" t="s">
        <v>296</v>
      </c>
      <c r="P178" s="14"/>
      <c r="Q178" s="848">
        <f>IF(Q19&gt;0,Q155+Q174+Q176,0)</f>
        <v>0</v>
      </c>
    </row>
    <row r="179"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92">
    <mergeCell ref="L19:P19"/>
    <mergeCell ref="B19:K19"/>
    <mergeCell ref="O18:Q18"/>
    <mergeCell ref="O111:P111"/>
    <mergeCell ref="O110:P110"/>
    <mergeCell ref="F110:H110"/>
    <mergeCell ref="A27:N27"/>
    <mergeCell ref="A25:N25"/>
    <mergeCell ref="K111:L111"/>
    <mergeCell ref="C110:E110"/>
    <mergeCell ref="M111:N111"/>
    <mergeCell ref="A33:N33"/>
    <mergeCell ref="A35:N35"/>
    <mergeCell ref="A47:P47"/>
    <mergeCell ref="M109:N109"/>
    <mergeCell ref="A29:N29"/>
    <mergeCell ref="A39:M39"/>
    <mergeCell ref="A31:N31"/>
    <mergeCell ref="A37:N37"/>
    <mergeCell ref="A160:C161"/>
    <mergeCell ref="G87:O87"/>
    <mergeCell ref="A157:C158"/>
    <mergeCell ref="A145:K145"/>
    <mergeCell ref="A141:D142"/>
    <mergeCell ref="A138:D139"/>
    <mergeCell ref="I90:O90"/>
    <mergeCell ref="I88:J88"/>
    <mergeCell ref="A129:F130"/>
    <mergeCell ref="B103:Q104"/>
    <mergeCell ref="O109:P109"/>
    <mergeCell ref="A135:E136"/>
    <mergeCell ref="A126:D127"/>
    <mergeCell ref="A120:C121"/>
    <mergeCell ref="A132:E133"/>
    <mergeCell ref="A123:D124"/>
    <mergeCell ref="A117:J117"/>
    <mergeCell ref="F107:H107"/>
    <mergeCell ref="C107:E107"/>
    <mergeCell ref="I107:J107"/>
    <mergeCell ref="C111:E111"/>
    <mergeCell ref="F111:H111"/>
    <mergeCell ref="I111:J111"/>
    <mergeCell ref="I109:J109"/>
    <mergeCell ref="I110:J110"/>
    <mergeCell ref="J20:K20"/>
    <mergeCell ref="A23:M23"/>
    <mergeCell ref="B8:J8"/>
    <mergeCell ref="B9:J9"/>
    <mergeCell ref="B10:H10"/>
    <mergeCell ref="L16:M16"/>
    <mergeCell ref="B14:O14"/>
    <mergeCell ref="J10:K10"/>
    <mergeCell ref="L20:P20"/>
    <mergeCell ref="A20:I20"/>
    <mergeCell ref="B17:I17"/>
    <mergeCell ref="B13:O13"/>
    <mergeCell ref="O15:Q15"/>
    <mergeCell ref="C15:J15"/>
    <mergeCell ref="N17:O17"/>
    <mergeCell ref="C18:I18"/>
    <mergeCell ref="O107:P107"/>
    <mergeCell ref="C108:E108"/>
    <mergeCell ref="F108:H108"/>
    <mergeCell ref="I108:J108"/>
    <mergeCell ref="K108:L108"/>
    <mergeCell ref="M108:N108"/>
    <mergeCell ref="O108:P108"/>
    <mergeCell ref="P4:Q4"/>
    <mergeCell ref="P12:Q12"/>
    <mergeCell ref="P6:Q6"/>
    <mergeCell ref="B5:Q5"/>
    <mergeCell ref="B6:J6"/>
    <mergeCell ref="B12:N12"/>
    <mergeCell ref="K6:L6"/>
    <mergeCell ref="N6:O6"/>
    <mergeCell ref="H4:I4"/>
    <mergeCell ref="O10:Q10"/>
    <mergeCell ref="B7:J7"/>
    <mergeCell ref="C4:G4"/>
    <mergeCell ref="K8:L8"/>
    <mergeCell ref="M8:O8"/>
    <mergeCell ref="K7:L7"/>
    <mergeCell ref="M7:O7"/>
    <mergeCell ref="K110:L110"/>
    <mergeCell ref="M110:N110"/>
    <mergeCell ref="A52:N52"/>
    <mergeCell ref="M107:N107"/>
    <mergeCell ref="C109:E109"/>
    <mergeCell ref="F109:H109"/>
    <mergeCell ref="A54:N54"/>
    <mergeCell ref="K109:L109"/>
    <mergeCell ref="K107:L107"/>
  </mergeCells>
  <phoneticPr fontId="0" type="noConversion"/>
  <conditionalFormatting sqref="Q111 O111 M111 K111 I111 B111:C111 F111">
    <cfRule type="expression" dxfId="0" priority="1" stopIfTrue="1">
      <formula>B111&lt;B110</formula>
    </cfRule>
  </conditionalFormatting>
  <printOptions horizontalCentered="1"/>
  <pageMargins left="0.55118110236220474" right="0.55118110236220474" top="0.78740157480314965" bottom="0.78740157480314965" header="0.47244094488188981" footer="0.55118110236220474"/>
  <pageSetup paperSize="9" scale="50" orientation="portrait" r:id="rId2"/>
  <headerFooter alignWithMargins="0">
    <oddFooter>&amp;L&amp;"Arial,Regular"&amp;8&amp;A 
(&amp;F)&amp;C&amp;"Arial,Regular"&amp;P&amp;R&amp;"Arial,Regular"&amp;9&amp;D</oddFooter>
  </headerFooter>
  <rowBreaks count="1" manualBreakCount="1">
    <brk id="90" max="16" man="1"/>
  </rowBreaks>
  <colBreaks count="1" manualBreakCount="1">
    <brk id="17" max="177"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4"/>
  <sheetViews>
    <sheetView zoomScale="75" zoomScaleNormal="100" workbookViewId="0">
      <selection activeCell="H19" sqref="H19"/>
    </sheetView>
  </sheetViews>
  <sheetFormatPr defaultRowHeight="15" x14ac:dyDescent="0.2"/>
  <cols>
    <col min="1" max="1" width="2.77734375" customWidth="1"/>
    <col min="2" max="2" width="15" customWidth="1"/>
    <col min="3" max="3" width="13.33203125" customWidth="1"/>
    <col min="4" max="4" width="13.109375" customWidth="1"/>
    <col min="5" max="5" width="14.6640625" customWidth="1"/>
    <col min="6" max="6" width="4.44140625" customWidth="1"/>
    <col min="8" max="8" width="18.77734375" customWidth="1"/>
    <col min="10" max="10" width="3.109375" customWidth="1"/>
  </cols>
  <sheetData>
    <row r="1" spans="2:12" ht="18" x14ac:dyDescent="0.25">
      <c r="B1" s="704" t="s">
        <v>410</v>
      </c>
    </row>
    <row r="2" spans="2:12" ht="16.5" thickBot="1" x14ac:dyDescent="0.3">
      <c r="B2" s="361" t="s">
        <v>408</v>
      </c>
      <c r="C2" s="1752" t="s">
        <v>125</v>
      </c>
      <c r="D2" s="1752"/>
      <c r="E2" s="1752"/>
      <c r="G2" s="363" t="s">
        <v>435</v>
      </c>
      <c r="H2" s="1053"/>
      <c r="I2" s="1053"/>
      <c r="J2" s="1053"/>
      <c r="K2" s="1053"/>
      <c r="L2" s="1053"/>
    </row>
    <row r="3" spans="2:12" ht="25.5" x14ac:dyDescent="0.2">
      <c r="B3" s="686">
        <v>0</v>
      </c>
      <c r="C3" s="687">
        <f>B4</f>
        <v>490000</v>
      </c>
      <c r="D3" s="687">
        <v>0</v>
      </c>
      <c r="E3" s="688">
        <v>0.125</v>
      </c>
      <c r="G3" s="1054" t="s">
        <v>436</v>
      </c>
      <c r="H3" s="1055" t="s">
        <v>437</v>
      </c>
      <c r="I3" s="1056" t="s">
        <v>438</v>
      </c>
      <c r="J3" s="1057"/>
      <c r="K3" s="1058" t="s">
        <v>439</v>
      </c>
      <c r="L3" s="1059" t="s">
        <v>440</v>
      </c>
    </row>
    <row r="4" spans="2:12" x14ac:dyDescent="0.2">
      <c r="B4" s="689">
        <v>490000</v>
      </c>
      <c r="C4" s="690">
        <v>1225000</v>
      </c>
      <c r="D4" s="690">
        <v>61250</v>
      </c>
      <c r="E4" s="691">
        <v>0.125</v>
      </c>
      <c r="G4" s="1060" t="s">
        <v>441</v>
      </c>
      <c r="H4" s="1061" t="s">
        <v>442</v>
      </c>
      <c r="I4" s="1062">
        <v>0.05</v>
      </c>
      <c r="J4" s="1063" t="s">
        <v>25</v>
      </c>
      <c r="K4" s="1064">
        <v>1</v>
      </c>
      <c r="L4" s="1065">
        <v>0.05</v>
      </c>
    </row>
    <row r="5" spans="2:12" ht="25.5" x14ac:dyDescent="0.2">
      <c r="B5" s="692">
        <v>1225000</v>
      </c>
      <c r="C5" s="690">
        <v>6000000</v>
      </c>
      <c r="D5" s="690">
        <v>153125</v>
      </c>
      <c r="E5" s="691">
        <v>0.1</v>
      </c>
      <c r="G5" s="1060" t="s">
        <v>443</v>
      </c>
      <c r="H5" s="1061" t="s">
        <v>444</v>
      </c>
      <c r="I5" s="1062">
        <f>IF('Input Data'!$F$31&lt;2,0,20%)</f>
        <v>0</v>
      </c>
      <c r="J5" s="1063" t="s">
        <v>25</v>
      </c>
      <c r="K5" s="1064">
        <f>IF('Input Data'!$F$31=2,'Input Data'!$D$32,1)</f>
        <v>1</v>
      </c>
      <c r="L5" s="1065">
        <f>I5*K5+L4</f>
        <v>0.05</v>
      </c>
    </row>
    <row r="6" spans="2:12" x14ac:dyDescent="0.2">
      <c r="B6" s="692">
        <v>6000000</v>
      </c>
      <c r="C6" s="690">
        <v>12250000</v>
      </c>
      <c r="D6" s="690">
        <v>630625</v>
      </c>
      <c r="E6" s="691">
        <v>0.09</v>
      </c>
      <c r="G6" s="1060" t="s">
        <v>445</v>
      </c>
      <c r="H6" s="1061" t="s">
        <v>446</v>
      </c>
      <c r="I6" s="1062">
        <f>IF('Input Data'!$F$31&lt;3,0,30%)</f>
        <v>0</v>
      </c>
      <c r="J6" s="1063" t="s">
        <v>25</v>
      </c>
      <c r="K6" s="1064">
        <f>IF('Input Data'!$F$31=3,'Input Data'!$D$32,1)</f>
        <v>1</v>
      </c>
      <c r="L6" s="1065">
        <f>I6*K6+L5</f>
        <v>0.05</v>
      </c>
    </row>
    <row r="7" spans="2:12" ht="26.25" thickBot="1" x14ac:dyDescent="0.25">
      <c r="B7" s="692">
        <v>12250000</v>
      </c>
      <c r="C7" s="690">
        <v>30500000</v>
      </c>
      <c r="D7" s="690">
        <v>1193125</v>
      </c>
      <c r="E7" s="691">
        <v>0.08</v>
      </c>
      <c r="G7" s="1066" t="s">
        <v>447</v>
      </c>
      <c r="H7" s="1067" t="s">
        <v>448</v>
      </c>
      <c r="I7" s="1068">
        <f>IF('Input Data'!$F$31&lt;4,0,15%)</f>
        <v>0</v>
      </c>
      <c r="J7" s="1069" t="s">
        <v>25</v>
      </c>
      <c r="K7" s="1070">
        <f>IF('Input Data'!$F$31=4,'Input Data'!$D$32,1)</f>
        <v>1</v>
      </c>
      <c r="L7" s="1071">
        <f>I7*K7+L6</f>
        <v>0.05</v>
      </c>
    </row>
    <row r="8" spans="2:12" x14ac:dyDescent="0.2">
      <c r="B8" s="692">
        <v>30500000</v>
      </c>
      <c r="C8" s="690">
        <v>61250000</v>
      </c>
      <c r="D8" s="690">
        <v>2653125</v>
      </c>
      <c r="E8" s="691">
        <v>0.06</v>
      </c>
    </row>
    <row r="9" spans="2:12" x14ac:dyDescent="0.2">
      <c r="B9" s="692">
        <v>61250000</v>
      </c>
      <c r="C9" s="690">
        <v>367500000</v>
      </c>
      <c r="D9" s="690">
        <v>4498125</v>
      </c>
      <c r="E9" s="691">
        <v>5.5E-2</v>
      </c>
    </row>
    <row r="10" spans="2:12" ht="15.75" customHeight="1" thickBot="1" x14ac:dyDescent="0.25">
      <c r="B10" s="693">
        <v>367500000</v>
      </c>
      <c r="C10" s="694">
        <v>1000000000</v>
      </c>
      <c r="D10" s="695">
        <v>21341875</v>
      </c>
      <c r="E10" s="696">
        <v>0.05</v>
      </c>
      <c r="H10" s="1061" t="s">
        <v>442</v>
      </c>
      <c r="I10" s="1126">
        <v>5</v>
      </c>
    </row>
    <row r="11" spans="2:12" ht="25.5" x14ac:dyDescent="0.2">
      <c r="B11" s="362"/>
      <c r="C11" s="697"/>
      <c r="D11" s="697"/>
      <c r="E11" s="697"/>
      <c r="H11" s="1061" t="s">
        <v>444</v>
      </c>
      <c r="I11" s="1126">
        <v>20</v>
      </c>
    </row>
    <row r="12" spans="2:12" x14ac:dyDescent="0.2">
      <c r="H12" s="1061" t="s">
        <v>446</v>
      </c>
      <c r="I12" s="1126">
        <v>30</v>
      </c>
    </row>
    <row r="13" spans="2:12" ht="33" customHeight="1" thickBot="1" x14ac:dyDescent="0.3">
      <c r="B13" s="363" t="s">
        <v>409</v>
      </c>
      <c r="C13" s="1753" t="s">
        <v>126</v>
      </c>
      <c r="D13" s="1753"/>
      <c r="E13" s="1753"/>
      <c r="H13" s="1061" t="s">
        <v>448</v>
      </c>
      <c r="I13" s="1126">
        <v>15</v>
      </c>
    </row>
    <row r="14" spans="2:12" x14ac:dyDescent="0.2">
      <c r="B14" s="698">
        <v>0</v>
      </c>
      <c r="C14" s="392">
        <f t="shared" ref="C14:C20" si="0">B15</f>
        <v>490000</v>
      </c>
      <c r="D14" s="699">
        <v>0</v>
      </c>
      <c r="E14" s="700">
        <v>0.05</v>
      </c>
      <c r="H14" s="1117"/>
      <c r="I14" s="1126">
        <f>SUM(I10:I13)</f>
        <v>70</v>
      </c>
    </row>
    <row r="15" spans="2:12" x14ac:dyDescent="0.2">
      <c r="B15" s="689">
        <v>490000</v>
      </c>
      <c r="C15" s="690">
        <f t="shared" si="0"/>
        <v>1225000</v>
      </c>
      <c r="D15" s="701">
        <v>24500</v>
      </c>
      <c r="E15" s="702">
        <v>0.05</v>
      </c>
    </row>
    <row r="16" spans="2:12" x14ac:dyDescent="0.2">
      <c r="B16" s="692">
        <v>1225000</v>
      </c>
      <c r="C16" s="690">
        <f t="shared" si="0"/>
        <v>6000000</v>
      </c>
      <c r="D16" s="690">
        <v>61250</v>
      </c>
      <c r="E16" s="702">
        <v>4.4999999999999998E-2</v>
      </c>
    </row>
    <row r="17" spans="2:5" x14ac:dyDescent="0.2">
      <c r="B17" s="692">
        <v>6000000</v>
      </c>
      <c r="C17" s="690">
        <f t="shared" si="0"/>
        <v>12250000</v>
      </c>
      <c r="D17" s="690">
        <v>276125</v>
      </c>
      <c r="E17" s="702">
        <v>0.04</v>
      </c>
    </row>
    <row r="18" spans="2:5" x14ac:dyDescent="0.2">
      <c r="B18" s="692">
        <v>12250000</v>
      </c>
      <c r="C18" s="690">
        <f t="shared" si="0"/>
        <v>30500000</v>
      </c>
      <c r="D18" s="690">
        <v>526125</v>
      </c>
      <c r="E18" s="702">
        <v>0.03</v>
      </c>
    </row>
    <row r="19" spans="2:5" x14ac:dyDescent="0.2">
      <c r="B19" s="692">
        <v>30500000</v>
      </c>
      <c r="C19" s="690">
        <f t="shared" si="0"/>
        <v>61250000</v>
      </c>
      <c r="D19" s="690">
        <v>1073625</v>
      </c>
      <c r="E19" s="702">
        <v>0.02</v>
      </c>
    </row>
    <row r="20" spans="2:5" x14ac:dyDescent="0.2">
      <c r="B20" s="692">
        <v>61250000</v>
      </c>
      <c r="C20" s="690">
        <f t="shared" si="0"/>
        <v>367500000</v>
      </c>
      <c r="D20" s="690">
        <v>1688625</v>
      </c>
      <c r="E20" s="702">
        <v>1.4999999999999999E-2</v>
      </c>
    </row>
    <row r="21" spans="2:5" ht="15" customHeight="1" thickBot="1" x14ac:dyDescent="0.25">
      <c r="B21" s="693">
        <v>367500000</v>
      </c>
      <c r="C21" s="694">
        <v>1000000000</v>
      </c>
      <c r="D21" s="694">
        <v>6282375</v>
      </c>
      <c r="E21" s="703">
        <v>1.4999999999999999E-2</v>
      </c>
    </row>
    <row r="22" spans="2:5" ht="18" customHeight="1" x14ac:dyDescent="0.2"/>
    <row r="29" spans="2:5" ht="15.75" customHeight="1" x14ac:dyDescent="0.2"/>
    <row r="30" spans="2:5" ht="15.75" customHeight="1" x14ac:dyDescent="0.2"/>
    <row r="31" spans="2:5" ht="15" customHeight="1" x14ac:dyDescent="0.2"/>
    <row r="32" spans="2:5" ht="15" customHeight="1" x14ac:dyDescent="0.2"/>
    <row r="34" ht="15.75" customHeight="1" x14ac:dyDescent="0.2"/>
  </sheetData>
  <sheetProtection password="CC8C" sheet="1" objects="1" scenarios="1"/>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3:E13"/>
  </mergeCells>
  <phoneticPr fontId="0" type="noConversion"/>
  <pageMargins left="0.75" right="0.75" top="1" bottom="1" header="0.5" footer="0.5"/>
  <pageSetup paperSize="9" scale="91"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C8" sqref="C8:D8"/>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160"/>
      <c r="B1" s="127"/>
      <c r="C1" s="127"/>
      <c r="D1" s="127"/>
      <c r="E1" s="127"/>
      <c r="F1" s="127"/>
      <c r="G1" s="127"/>
      <c r="H1" s="128"/>
    </row>
    <row r="2" spans="1:10" ht="23.25" x14ac:dyDescent="0.2">
      <c r="A2" s="129"/>
      <c r="B2" s="620" t="s">
        <v>141</v>
      </c>
      <c r="D2" s="125"/>
      <c r="E2" s="125"/>
      <c r="F2" s="125"/>
      <c r="G2" s="125"/>
      <c r="H2" s="131"/>
    </row>
    <row r="3" spans="1:10" ht="31.5" customHeight="1" x14ac:dyDescent="0.2">
      <c r="B3" s="794"/>
      <c r="C3" s="794"/>
      <c r="D3" s="1099" t="str">
        <f>'Input Data'!E2</f>
        <v xml:space="preserve">CIVIL &amp; STRUCTURAL ENGINEERING  </v>
      </c>
      <c r="E3" s="1095"/>
      <c r="F3" s="1100"/>
      <c r="G3" s="267" t="s">
        <v>139</v>
      </c>
      <c r="H3" s="619">
        <f>'Input Data'!D27</f>
        <v>0</v>
      </c>
    </row>
    <row r="4" spans="1:10" ht="29.25" customHeight="1" x14ac:dyDescent="0.2">
      <c r="A4" s="129"/>
      <c r="B4" s="159"/>
      <c r="C4" s="159"/>
      <c r="D4" s="1099" t="str">
        <f>'Input Data'!E3</f>
        <v>ENGINEERING PROJECT:  2011 NDPW FEES</v>
      </c>
      <c r="E4" s="1100"/>
      <c r="F4" s="1100"/>
      <c r="G4" s="1100"/>
      <c r="H4" s="1106" t="str">
        <f>'Input Data'!H3</f>
        <v>Version: 1.2  2012-10</v>
      </c>
      <c r="I4" s="610"/>
    </row>
    <row r="5" spans="1:10" x14ac:dyDescent="0.2">
      <c r="A5" s="637"/>
      <c r="C5" s="125"/>
      <c r="D5" s="125"/>
      <c r="E5" s="125"/>
      <c r="F5" s="125"/>
      <c r="G5" s="125"/>
      <c r="H5" s="131"/>
    </row>
    <row r="6" spans="1:10" x14ac:dyDescent="0.2">
      <c r="A6" s="129"/>
      <c r="B6" s="125"/>
      <c r="C6" s="125"/>
      <c r="D6" s="125"/>
      <c r="E6" s="125"/>
      <c r="F6" s="125"/>
      <c r="G6" s="125"/>
      <c r="H6" s="131"/>
    </row>
    <row r="7" spans="1:10" x14ac:dyDescent="0.2">
      <c r="A7" s="129"/>
      <c r="B7" s="125"/>
      <c r="C7" s="125"/>
      <c r="D7" s="125"/>
      <c r="E7" s="518"/>
      <c r="F7" s="125"/>
      <c r="G7" s="518"/>
      <c r="H7" s="131"/>
    </row>
    <row r="8" spans="1:10" ht="18" x14ac:dyDescent="0.2">
      <c r="A8" s="1754" t="s">
        <v>298</v>
      </c>
      <c r="B8" s="1755"/>
      <c r="C8" s="1756">
        <f>'Input Data'!$D$5</f>
        <v>0</v>
      </c>
      <c r="D8" s="1757"/>
      <c r="E8" s="518"/>
      <c r="F8" s="1763" t="str">
        <f>'Input Data'!D31</f>
        <v>INCEPTION</v>
      </c>
      <c r="G8" s="1764"/>
      <c r="H8" s="636" t="s">
        <v>143</v>
      </c>
      <c r="I8" s="28"/>
    </row>
    <row r="9" spans="1:10" ht="19.5" x14ac:dyDescent="0.2">
      <c r="A9" s="387"/>
      <c r="B9" s="1761" t="s">
        <v>18</v>
      </c>
      <c r="C9" s="1762"/>
      <c r="D9" s="1762"/>
      <c r="E9" s="1480">
        <f>'Input Data'!$D$28</f>
        <v>0</v>
      </c>
      <c r="F9" s="125"/>
      <c r="G9" s="125"/>
      <c r="H9" s="420"/>
      <c r="I9" s="28"/>
    </row>
    <row r="10" spans="1:10" ht="15.75" x14ac:dyDescent="0.2">
      <c r="A10" s="1754" t="s">
        <v>379</v>
      </c>
      <c r="B10" s="1760"/>
      <c r="C10" s="1765">
        <f>'Input Data'!D12</f>
        <v>0</v>
      </c>
      <c r="D10" s="1766"/>
      <c r="E10" s="1766"/>
      <c r="F10" s="1766"/>
      <c r="G10" s="458"/>
      <c r="H10" s="585"/>
    </row>
    <row r="11" spans="1:10" ht="24" customHeight="1" x14ac:dyDescent="0.2">
      <c r="A11" s="266" t="s">
        <v>288</v>
      </c>
      <c r="B11" s="1758">
        <f>'Input Data'!D11</f>
        <v>0</v>
      </c>
      <c r="C11" s="1759"/>
      <c r="D11" s="1759"/>
      <c r="E11" s="1759"/>
      <c r="F11" s="1759"/>
      <c r="G11" s="1759"/>
      <c r="H11" s="388"/>
    </row>
    <row r="12" spans="1:10" ht="15.75" thickBot="1" x14ac:dyDescent="0.25">
      <c r="A12" s="129"/>
      <c r="B12" s="125"/>
      <c r="C12" s="125"/>
      <c r="D12" s="125"/>
      <c r="E12" s="125"/>
      <c r="F12" s="518"/>
      <c r="G12" s="125"/>
      <c r="H12" s="131"/>
    </row>
    <row r="13" spans="1:10" ht="93.75" customHeight="1" thickTop="1" thickBot="1" x14ac:dyDescent="0.25">
      <c r="A13" s="1783" t="s">
        <v>401</v>
      </c>
      <c r="B13" s="1784"/>
      <c r="C13" s="1784"/>
      <c r="D13" s="1785"/>
      <c r="E13" s="1121" t="s">
        <v>450</v>
      </c>
      <c r="F13" s="1121" t="s">
        <v>451</v>
      </c>
      <c r="G13" s="1122" t="s">
        <v>452</v>
      </c>
      <c r="H13" s="622" t="s">
        <v>148</v>
      </c>
    </row>
    <row r="14" spans="1:10" ht="39.950000000000003" customHeight="1" thickTop="1" x14ac:dyDescent="0.2">
      <c r="A14" s="1497" t="s">
        <v>207</v>
      </c>
      <c r="B14" s="1498"/>
      <c r="C14" s="1498"/>
      <c r="D14" s="1498"/>
      <c r="E14" s="1073"/>
      <c r="F14" s="1073"/>
      <c r="G14" s="1118"/>
      <c r="H14" s="877">
        <f>IF('Input Data'!$E$9="e",IF('Input Data'!$F$31&lt;5,E14,IF('Input Data'!$F$31=5,F14,IF('Input Data'!$F$31=6,G14))))</f>
        <v>0</v>
      </c>
      <c r="J14" s="3"/>
    </row>
    <row r="15" spans="1:10" ht="39.950000000000003" customHeight="1" x14ac:dyDescent="0.2">
      <c r="A15" s="1500" t="s">
        <v>193</v>
      </c>
      <c r="B15" s="1501"/>
      <c r="C15" s="1501"/>
      <c r="D15" s="1501"/>
      <c r="E15" s="1073"/>
      <c r="F15" s="1073"/>
      <c r="G15" s="1118"/>
      <c r="H15" s="878">
        <f>IF('Input Data'!$E$9="e",IF('Input Data'!$F$31&lt;5,E15,IF('Input Data'!$F$31=5,F15,IF('Input Data'!$F$31=6,G15))))</f>
        <v>0</v>
      </c>
      <c r="J15" s="3"/>
    </row>
    <row r="16" spans="1:10" ht="39.950000000000003" customHeight="1" x14ac:dyDescent="0.2">
      <c r="A16" s="1500" t="s">
        <v>201</v>
      </c>
      <c r="B16" s="1586"/>
      <c r="C16" s="1586"/>
      <c r="D16" s="1586"/>
      <c r="E16" s="1073"/>
      <c r="F16" s="1073"/>
      <c r="G16" s="1118"/>
      <c r="H16" s="878">
        <f>IF('Input Data'!$E$9="e",IF('Input Data'!$F$31&lt;5,E16,IF('Input Data'!$F$31=5,F16,IF('Input Data'!$F$31=6,G16))))</f>
        <v>0</v>
      </c>
      <c r="J16" s="3"/>
    </row>
    <row r="17" spans="1:10" ht="51" customHeight="1" x14ac:dyDescent="0.2">
      <c r="A17" s="1500" t="s">
        <v>194</v>
      </c>
      <c r="B17" s="1501"/>
      <c r="C17" s="1501"/>
      <c r="D17" s="1501"/>
      <c r="E17" s="1073"/>
      <c r="F17" s="1073"/>
      <c r="G17" s="1118"/>
      <c r="H17" s="878">
        <f>IF('Input Data'!$E$9="e",IF('Input Data'!$F$31&lt;5,E17,IF('Input Data'!$F$31=5,F17,IF('Input Data'!$F$31=6,G17))))</f>
        <v>0</v>
      </c>
      <c r="J17" s="3"/>
    </row>
    <row r="18" spans="1:10" ht="48" customHeight="1" x14ac:dyDescent="0.2">
      <c r="A18" s="1500" t="s">
        <v>202</v>
      </c>
      <c r="B18" s="1586"/>
      <c r="C18" s="1586"/>
      <c r="D18" s="1586"/>
      <c r="E18" s="1073"/>
      <c r="F18" s="1073"/>
      <c r="G18" s="1118"/>
      <c r="H18" s="878">
        <f>IF('Input Data'!$E$9="e",IF('Input Data'!$F$31&lt;5,E18,IF('Input Data'!$F$31=5,F18,IF('Input Data'!$F$31=6,G18))))</f>
        <v>0</v>
      </c>
      <c r="J18" s="3"/>
    </row>
    <row r="19" spans="1:10" ht="49.5" customHeight="1" x14ac:dyDescent="0.2">
      <c r="A19" s="1500" t="s">
        <v>195</v>
      </c>
      <c r="B19" s="1586"/>
      <c r="C19" s="1586"/>
      <c r="D19" s="1586"/>
      <c r="E19" s="1073"/>
      <c r="F19" s="1073"/>
      <c r="G19" s="1118"/>
      <c r="H19" s="878">
        <f>IF('Input Data'!$E$9="e",IF('Input Data'!$F$31&lt;5,E19,IF('Input Data'!$F$31=5,F19,IF('Input Data'!$F$31=6,G19))))</f>
        <v>0</v>
      </c>
      <c r="J19" s="3"/>
    </row>
    <row r="20" spans="1:10" ht="39.950000000000003" customHeight="1" x14ac:dyDescent="0.2">
      <c r="A20" s="1500" t="s">
        <v>204</v>
      </c>
      <c r="B20" s="1586"/>
      <c r="C20" s="1586"/>
      <c r="D20" s="1586"/>
      <c r="E20" s="1073"/>
      <c r="F20" s="1073"/>
      <c r="G20" s="1118"/>
      <c r="H20" s="878">
        <f>IF('Input Data'!$E$9="e",IF('Input Data'!$F$31&lt;5,E20,IF('Input Data'!$F$31=5,F20,IF('Input Data'!$F$31=6,G20))))</f>
        <v>0</v>
      </c>
      <c r="J20" s="3"/>
    </row>
    <row r="21" spans="1:10" ht="48" customHeight="1" thickBot="1" x14ac:dyDescent="0.25">
      <c r="A21" s="1497" t="s">
        <v>203</v>
      </c>
      <c r="B21" s="1597"/>
      <c r="C21" s="1597"/>
      <c r="D21" s="1597"/>
      <c r="E21" s="1073"/>
      <c r="F21" s="1073"/>
      <c r="G21" s="1118"/>
      <c r="H21" s="879">
        <f>IF('Input Data'!$E$9="e",IF('Input Data'!$F$31&lt;5,E21,IF('Input Data'!$F$31=5,F21,IF('Input Data'!$F$31=6,G21))))</f>
        <v>0</v>
      </c>
      <c r="J21" s="3"/>
    </row>
    <row r="22" spans="1:10" ht="51" customHeight="1" thickBot="1" x14ac:dyDescent="0.25">
      <c r="A22" s="1767" t="s">
        <v>306</v>
      </c>
      <c r="B22" s="1768"/>
      <c r="C22" s="1768"/>
      <c r="D22" s="1777"/>
      <c r="E22" s="1119">
        <f>SUM(E14:E21)</f>
        <v>0</v>
      </c>
      <c r="F22" s="1119">
        <f>SUM(F14:F21)</f>
        <v>0</v>
      </c>
      <c r="G22" s="1120">
        <f>SUM(G14:G21)</f>
        <v>0</v>
      </c>
      <c r="H22" s="1101">
        <f>SUM(H14:H21)</f>
        <v>0</v>
      </c>
    </row>
    <row r="23" spans="1:10" ht="41.25" customHeight="1" thickTop="1" thickBot="1" x14ac:dyDescent="0.25">
      <c r="A23" s="1778" t="str">
        <f>IF(C27=6,IF(H22=H28,"","THE VALUE OF ( C) MUST BE THE SAME AS (D)"),"")</f>
        <v/>
      </c>
      <c r="B23" s="1779"/>
      <c r="C23" s="1779"/>
      <c r="D23" s="1780"/>
      <c r="E23" s="1780"/>
      <c r="F23" s="520"/>
      <c r="G23" s="520"/>
      <c r="H23" s="521"/>
    </row>
    <row r="24" spans="1:10" ht="15.75" thickBot="1" x14ac:dyDescent="0.25">
      <c r="A24" s="1771"/>
      <c r="B24" s="1772"/>
      <c r="C24" s="1772"/>
      <c r="D24" s="1772"/>
      <c r="E24" s="310"/>
      <c r="F24" s="311"/>
      <c r="G24" s="312"/>
      <c r="H24" s="313"/>
    </row>
    <row r="25" spans="1:10" ht="63" customHeight="1" thickTop="1" thickBot="1" x14ac:dyDescent="0.25">
      <c r="A25" s="1773" t="s">
        <v>402</v>
      </c>
      <c r="B25" s="1774"/>
      <c r="C25" s="1774"/>
      <c r="D25" s="1775"/>
      <c r="E25" s="1776"/>
      <c r="F25" s="1776"/>
      <c r="G25" s="617" t="s">
        <v>311</v>
      </c>
      <c r="H25" s="623" t="s">
        <v>148</v>
      </c>
    </row>
    <row r="26" spans="1:10" ht="42" customHeight="1" thickTop="1" x14ac:dyDescent="0.2">
      <c r="A26" s="1612" t="s">
        <v>196</v>
      </c>
      <c r="B26" s="1613"/>
      <c r="C26" s="1613"/>
      <c r="D26" s="1613"/>
      <c r="E26" s="1781"/>
      <c r="F26" s="1782"/>
      <c r="G26" s="1102"/>
      <c r="H26" s="882">
        <f>IF('Input Data'!$F$31&gt;4,G26,0)</f>
        <v>0</v>
      </c>
    </row>
    <row r="27" spans="1:10" ht="40.5" customHeight="1" thickBot="1" x14ac:dyDescent="0.25">
      <c r="A27" s="1786" t="s">
        <v>205</v>
      </c>
      <c r="B27" s="1787"/>
      <c r="C27" s="1787"/>
      <c r="D27" s="1787"/>
      <c r="E27" s="1788"/>
      <c r="F27" s="1788"/>
      <c r="G27" s="1103"/>
      <c r="H27" s="883">
        <f>IF('Input Data'!$F$31&gt;4,G27,0)</f>
        <v>0</v>
      </c>
    </row>
    <row r="28" spans="1:10" ht="44.25" customHeight="1" thickBot="1" x14ac:dyDescent="0.25">
      <c r="A28" s="1767" t="s">
        <v>307</v>
      </c>
      <c r="B28" s="1768"/>
      <c r="C28" s="1768"/>
      <c r="D28" s="1769"/>
      <c r="E28" s="1770"/>
      <c r="F28" s="1770"/>
      <c r="G28" s="1104">
        <f>G26+G27</f>
        <v>0</v>
      </c>
      <c r="H28" s="1105">
        <f>H26+H27</f>
        <v>0</v>
      </c>
    </row>
    <row r="29" spans="1:10"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3">
    <mergeCell ref="A13:D13"/>
    <mergeCell ref="A27:F27"/>
    <mergeCell ref="A16:D16"/>
    <mergeCell ref="A18:D18"/>
    <mergeCell ref="A19:D19"/>
    <mergeCell ref="A14:D14"/>
    <mergeCell ref="A15:D15"/>
    <mergeCell ref="A17:D17"/>
    <mergeCell ref="A28:F28"/>
    <mergeCell ref="A24:D24"/>
    <mergeCell ref="A25:F25"/>
    <mergeCell ref="A20:D20"/>
    <mergeCell ref="A21:D21"/>
    <mergeCell ref="A22:D22"/>
    <mergeCell ref="A23:E23"/>
    <mergeCell ref="A26:F26"/>
    <mergeCell ref="A8:B8"/>
    <mergeCell ref="C8:D8"/>
    <mergeCell ref="B11:G11"/>
    <mergeCell ref="A10:B10"/>
    <mergeCell ref="B9:D9"/>
    <mergeCell ref="F8:G8"/>
    <mergeCell ref="C10:F10"/>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E9" sqref="E9"/>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707"/>
      <c r="B1" s="524"/>
      <c r="C1" s="524"/>
      <c r="D1" s="524"/>
      <c r="E1" s="524"/>
      <c r="F1" s="524"/>
      <c r="G1" s="524"/>
      <c r="H1" s="642"/>
    </row>
    <row r="2" spans="1:10" ht="23.25" x14ac:dyDescent="0.2">
      <c r="A2" s="400"/>
      <c r="B2" s="708" t="s">
        <v>141</v>
      </c>
      <c r="C2" s="709"/>
      <c r="D2" s="30"/>
      <c r="E2" s="30"/>
      <c r="F2" s="30"/>
      <c r="G2" s="30"/>
      <c r="H2" s="407"/>
    </row>
    <row r="3" spans="1:10" ht="31.5" customHeight="1" x14ac:dyDescent="0.2">
      <c r="A3" s="793"/>
      <c r="B3" s="794"/>
      <c r="C3" s="794"/>
      <c r="D3" s="1097" t="s">
        <v>412</v>
      </c>
      <c r="E3" s="1097"/>
      <c r="F3" s="1098"/>
      <c r="G3" s="547" t="s">
        <v>139</v>
      </c>
      <c r="H3" s="711">
        <v>40785</v>
      </c>
    </row>
    <row r="4" spans="1:10" ht="29.25" customHeight="1" x14ac:dyDescent="0.2">
      <c r="A4" s="400"/>
      <c r="B4" s="710"/>
      <c r="C4" s="710"/>
      <c r="D4" s="1099" t="s">
        <v>413</v>
      </c>
      <c r="E4" s="1096"/>
      <c r="F4" s="1096"/>
      <c r="G4" s="1096"/>
      <c r="H4" s="712" t="str">
        <f>'Input Data'!H3</f>
        <v>Version: 1.2  2012-10</v>
      </c>
      <c r="I4" s="610"/>
    </row>
    <row r="5" spans="1:10" x14ac:dyDescent="0.2">
      <c r="A5" s="713"/>
      <c r="B5" s="709"/>
      <c r="C5" s="30"/>
      <c r="D5" s="30"/>
      <c r="E5" s="30"/>
      <c r="F5" s="30"/>
      <c r="G5" s="30"/>
      <c r="H5" s="407"/>
    </row>
    <row r="6" spans="1:10" x14ac:dyDescent="0.2">
      <c r="A6" s="400"/>
      <c r="B6" s="30"/>
      <c r="C6" s="30"/>
      <c r="D6" s="30"/>
      <c r="E6" s="30"/>
      <c r="F6" s="30"/>
      <c r="G6" s="30"/>
      <c r="H6" s="407"/>
    </row>
    <row r="7" spans="1:10" x14ac:dyDescent="0.2">
      <c r="A7" s="400"/>
      <c r="B7" s="30"/>
      <c r="C7" s="30"/>
      <c r="D7" s="30"/>
      <c r="E7" s="714"/>
      <c r="F7" s="30"/>
      <c r="G7" s="714"/>
      <c r="H7" s="407"/>
    </row>
    <row r="8" spans="1:10" ht="18" x14ac:dyDescent="0.2">
      <c r="A8" s="1792" t="s">
        <v>298</v>
      </c>
      <c r="B8" s="1793"/>
      <c r="C8" s="1794">
        <v>79867</v>
      </c>
      <c r="D8" s="1795"/>
      <c r="E8" s="714"/>
      <c r="F8" s="1799" t="s">
        <v>327</v>
      </c>
      <c r="G8" s="1800"/>
      <c r="H8" s="716" t="s">
        <v>143</v>
      </c>
      <c r="I8" s="28"/>
    </row>
    <row r="9" spans="1:10" ht="19.5" x14ac:dyDescent="0.2">
      <c r="A9" s="717"/>
      <c r="B9" s="1761" t="s">
        <v>18</v>
      </c>
      <c r="C9" s="1798"/>
      <c r="D9" s="1798"/>
      <c r="E9" s="1480">
        <v>1</v>
      </c>
      <c r="F9" s="30"/>
      <c r="G9" s="30"/>
      <c r="H9" s="718"/>
      <c r="I9" s="28"/>
    </row>
    <row r="10" spans="1:10" ht="15.75" x14ac:dyDescent="0.2">
      <c r="A10" s="1792" t="s">
        <v>379</v>
      </c>
      <c r="B10" s="1655"/>
      <c r="C10" s="1801" t="s">
        <v>367</v>
      </c>
      <c r="D10" s="1802"/>
      <c r="E10" s="1802"/>
      <c r="F10" s="1802"/>
      <c r="G10" s="719"/>
      <c r="H10" s="720"/>
    </row>
    <row r="11" spans="1:10" ht="24" customHeight="1" x14ac:dyDescent="0.2">
      <c r="A11" s="715" t="s">
        <v>288</v>
      </c>
      <c r="B11" s="1796" t="s">
        <v>389</v>
      </c>
      <c r="C11" s="1797"/>
      <c r="D11" s="1797"/>
      <c r="E11" s="1797"/>
      <c r="F11" s="1797"/>
      <c r="G11" s="1797"/>
      <c r="H11" s="721"/>
    </row>
    <row r="12" spans="1:10" ht="15.75" thickBot="1" x14ac:dyDescent="0.25">
      <c r="A12" s="400"/>
      <c r="B12" s="30"/>
      <c r="C12" s="30"/>
      <c r="D12" s="30"/>
      <c r="E12" s="30"/>
      <c r="F12" s="714"/>
      <c r="G12" s="30"/>
      <c r="H12" s="407"/>
    </row>
    <row r="13" spans="1:10" ht="93.75" customHeight="1" thickTop="1" thickBot="1" x14ac:dyDescent="0.25">
      <c r="A13" s="1783" t="s">
        <v>401</v>
      </c>
      <c r="B13" s="1784"/>
      <c r="C13" s="1784"/>
      <c r="D13" s="1785"/>
      <c r="E13" s="621" t="s">
        <v>403</v>
      </c>
      <c r="F13" s="621" t="s">
        <v>404</v>
      </c>
      <c r="G13" s="621" t="s">
        <v>405</v>
      </c>
      <c r="H13" s="622" t="s">
        <v>148</v>
      </c>
    </row>
    <row r="14" spans="1:10" ht="39.950000000000003" customHeight="1" thickTop="1" x14ac:dyDescent="0.2">
      <c r="A14" s="1497" t="s">
        <v>207</v>
      </c>
      <c r="B14" s="1498"/>
      <c r="C14" s="1498"/>
      <c r="D14" s="1498"/>
      <c r="E14" s="886">
        <v>1000000</v>
      </c>
      <c r="F14" s="886">
        <v>1000000</v>
      </c>
      <c r="G14" s="886">
        <v>1000000</v>
      </c>
      <c r="H14" s="877">
        <v>1000000</v>
      </c>
      <c r="J14" s="3"/>
    </row>
    <row r="15" spans="1:10" ht="39.950000000000003" customHeight="1" x14ac:dyDescent="0.2">
      <c r="A15" s="1500" t="s">
        <v>193</v>
      </c>
      <c r="B15" s="1501"/>
      <c r="C15" s="1501"/>
      <c r="D15" s="1501"/>
      <c r="E15" s="886">
        <v>200000</v>
      </c>
      <c r="F15" s="886">
        <v>200000</v>
      </c>
      <c r="G15" s="886">
        <v>200000</v>
      </c>
      <c r="H15" s="878">
        <v>200000</v>
      </c>
      <c r="J15" s="3"/>
    </row>
    <row r="16" spans="1:10" ht="39.950000000000003" customHeight="1" x14ac:dyDescent="0.2">
      <c r="A16" s="1500" t="s">
        <v>201</v>
      </c>
      <c r="B16" s="1586"/>
      <c r="C16" s="1586"/>
      <c r="D16" s="1586"/>
      <c r="E16" s="886">
        <v>300000</v>
      </c>
      <c r="F16" s="886">
        <v>300000</v>
      </c>
      <c r="G16" s="886">
        <v>300000</v>
      </c>
      <c r="H16" s="878">
        <v>300000</v>
      </c>
      <c r="J16" s="3"/>
    </row>
    <row r="17" spans="1:10" ht="51" customHeight="1" x14ac:dyDescent="0.2">
      <c r="A17" s="1500" t="s">
        <v>194</v>
      </c>
      <c r="B17" s="1501"/>
      <c r="C17" s="1501"/>
      <c r="D17" s="1501"/>
      <c r="E17" s="886">
        <v>400000</v>
      </c>
      <c r="F17" s="886">
        <v>400000</v>
      </c>
      <c r="G17" s="886">
        <v>400000</v>
      </c>
      <c r="H17" s="878">
        <v>400000</v>
      </c>
      <c r="J17" s="3"/>
    </row>
    <row r="18" spans="1:10" ht="48" customHeight="1" x14ac:dyDescent="0.2">
      <c r="A18" s="1500" t="s">
        <v>202</v>
      </c>
      <c r="B18" s="1586"/>
      <c r="C18" s="1586"/>
      <c r="D18" s="1586"/>
      <c r="E18" s="886">
        <v>500000</v>
      </c>
      <c r="F18" s="886">
        <v>500000</v>
      </c>
      <c r="G18" s="886">
        <v>500000</v>
      </c>
      <c r="H18" s="878">
        <v>500000</v>
      </c>
      <c r="J18" s="3"/>
    </row>
    <row r="19" spans="1:10" ht="49.5" customHeight="1" x14ac:dyDescent="0.2">
      <c r="A19" s="1500" t="s">
        <v>195</v>
      </c>
      <c r="B19" s="1586"/>
      <c r="C19" s="1586"/>
      <c r="D19" s="1586"/>
      <c r="E19" s="886">
        <v>600000</v>
      </c>
      <c r="F19" s="886">
        <v>600000</v>
      </c>
      <c r="G19" s="886">
        <v>600000</v>
      </c>
      <c r="H19" s="878">
        <v>600000</v>
      </c>
      <c r="J19" s="3"/>
    </row>
    <row r="20" spans="1:10" ht="39.950000000000003" customHeight="1" x14ac:dyDescent="0.2">
      <c r="A20" s="1500" t="s">
        <v>204</v>
      </c>
      <c r="B20" s="1586"/>
      <c r="C20" s="1586"/>
      <c r="D20" s="1586"/>
      <c r="E20" s="886">
        <v>700000</v>
      </c>
      <c r="F20" s="886">
        <v>700000</v>
      </c>
      <c r="G20" s="886">
        <v>700000</v>
      </c>
      <c r="H20" s="878">
        <v>700000</v>
      </c>
      <c r="J20" s="3"/>
    </row>
    <row r="21" spans="1:10" ht="48" customHeight="1" thickBot="1" x14ac:dyDescent="0.25">
      <c r="A21" s="1497" t="s">
        <v>203</v>
      </c>
      <c r="B21" s="1597"/>
      <c r="C21" s="1597"/>
      <c r="D21" s="1597"/>
      <c r="E21" s="886">
        <v>800000</v>
      </c>
      <c r="F21" s="886">
        <v>800000</v>
      </c>
      <c r="G21" s="886">
        <v>800000</v>
      </c>
      <c r="H21" s="879">
        <v>800000</v>
      </c>
      <c r="J21" s="3"/>
    </row>
    <row r="22" spans="1:10" ht="51" customHeight="1" thickBot="1" x14ac:dyDescent="0.25">
      <c r="A22" s="1767" t="s">
        <v>306</v>
      </c>
      <c r="B22" s="1768"/>
      <c r="C22" s="1768"/>
      <c r="D22" s="1791"/>
      <c r="E22" s="880">
        <v>4500000</v>
      </c>
      <c r="F22" s="880">
        <v>4500000</v>
      </c>
      <c r="G22" s="880">
        <v>4500000</v>
      </c>
      <c r="H22" s="881">
        <v>4500000</v>
      </c>
    </row>
    <row r="23" spans="1:10" ht="41.25" customHeight="1" thickTop="1" thickBot="1" x14ac:dyDescent="0.25">
      <c r="A23" s="1778" t="s">
        <v>414</v>
      </c>
      <c r="B23" s="1779"/>
      <c r="C23" s="1779"/>
      <c r="D23" s="1780"/>
      <c r="E23" s="1780"/>
      <c r="F23" s="520"/>
      <c r="G23" s="520"/>
      <c r="H23" s="521"/>
    </row>
    <row r="24" spans="1:10" ht="15.75" thickBot="1" x14ac:dyDescent="0.25">
      <c r="A24" s="1771"/>
      <c r="B24" s="1772"/>
      <c r="C24" s="1772"/>
      <c r="D24" s="1772"/>
      <c r="E24" s="310"/>
      <c r="F24" s="311"/>
      <c r="G24" s="312"/>
      <c r="H24" s="313"/>
    </row>
    <row r="25" spans="1:10" ht="63" customHeight="1" thickTop="1" thickBot="1" x14ac:dyDescent="0.25">
      <c r="A25" s="1773" t="s">
        <v>411</v>
      </c>
      <c r="B25" s="1774"/>
      <c r="C25" s="1774"/>
      <c r="D25" s="1775"/>
      <c r="E25" s="1790"/>
      <c r="F25" s="1790"/>
      <c r="G25" s="617" t="s">
        <v>311</v>
      </c>
      <c r="H25" s="623" t="s">
        <v>148</v>
      </c>
    </row>
    <row r="26" spans="1:10" ht="42" customHeight="1" thickTop="1" x14ac:dyDescent="0.2">
      <c r="A26" s="1612" t="s">
        <v>196</v>
      </c>
      <c r="B26" s="1613"/>
      <c r="C26" s="1613"/>
      <c r="D26" s="1613"/>
      <c r="E26" s="1614"/>
      <c r="F26" s="1615"/>
      <c r="G26" s="887">
        <v>2000000</v>
      </c>
      <c r="H26" s="882">
        <v>2000000</v>
      </c>
    </row>
    <row r="27" spans="1:10" ht="40.5" customHeight="1" thickBot="1" x14ac:dyDescent="0.25">
      <c r="A27" s="1786" t="s">
        <v>205</v>
      </c>
      <c r="B27" s="1787"/>
      <c r="C27" s="1787"/>
      <c r="D27" s="1787"/>
      <c r="E27" s="1787"/>
      <c r="F27" s="1787"/>
      <c r="G27" s="888">
        <v>2500000</v>
      </c>
      <c r="H27" s="883">
        <v>2500000</v>
      </c>
    </row>
    <row r="28" spans="1:10" ht="44.25" customHeight="1" thickBot="1" x14ac:dyDescent="0.25">
      <c r="A28" s="1767" t="s">
        <v>307</v>
      </c>
      <c r="B28" s="1768"/>
      <c r="C28" s="1768"/>
      <c r="D28" s="1769"/>
      <c r="E28" s="1789"/>
      <c r="F28" s="1789"/>
      <c r="G28" s="884">
        <v>4500000</v>
      </c>
      <c r="H28" s="885">
        <v>4500000</v>
      </c>
    </row>
    <row r="29" spans="1:10" ht="15.75" thickTop="1" x14ac:dyDescent="0.2"/>
  </sheetData>
  <sheetProtection password="CD4C" sheet="1" objects="1" scenarios="1" formatCells="0" formatColumns="0" formatRows="0"/>
  <mergeCells count="23">
    <mergeCell ref="A8:B8"/>
    <mergeCell ref="C8:D8"/>
    <mergeCell ref="B11:G11"/>
    <mergeCell ref="A10:B10"/>
    <mergeCell ref="B9:D9"/>
    <mergeCell ref="F8:G8"/>
    <mergeCell ref="C10:F10"/>
    <mergeCell ref="A28:F28"/>
    <mergeCell ref="A24:D24"/>
    <mergeCell ref="A25:F25"/>
    <mergeCell ref="A20:D20"/>
    <mergeCell ref="A21:D21"/>
    <mergeCell ref="A22:D22"/>
    <mergeCell ref="A23:E23"/>
    <mergeCell ref="A26:F26"/>
    <mergeCell ref="A27:F27"/>
    <mergeCell ref="A13:D13"/>
    <mergeCell ref="A16:D16"/>
    <mergeCell ref="A18:D18"/>
    <mergeCell ref="A19:D19"/>
    <mergeCell ref="A14:D14"/>
    <mergeCell ref="A15:D15"/>
    <mergeCell ref="A17:D17"/>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1"/>
  <headerFooter alignWithMargins="0">
    <oddFooter>&amp;L&amp;8&amp;A(&amp;F)&amp;C&amp;P&amp;R&amp;8&amp;D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U58"/>
  <sheetViews>
    <sheetView zoomScale="70" zoomScaleNormal="75" zoomScaleSheetLayoutView="75" workbookViewId="0">
      <selection activeCell="B6" sqref="B6:D6"/>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21" ht="27" customHeight="1" thickTop="1" x14ac:dyDescent="0.2">
      <c r="A1" s="482"/>
      <c r="B1" s="598"/>
      <c r="C1" s="598"/>
      <c r="D1" s="598"/>
      <c r="E1" s="1820" t="s">
        <v>333</v>
      </c>
      <c r="F1" s="1820"/>
      <c r="G1" s="1820"/>
      <c r="H1" s="1820"/>
      <c r="I1" s="1820"/>
      <c r="J1" s="1820"/>
      <c r="K1" s="1820"/>
      <c r="L1" s="1820"/>
      <c r="M1" s="1820"/>
      <c r="N1" s="1820"/>
      <c r="O1" s="1820"/>
      <c r="P1" s="1820"/>
      <c r="Q1" s="1820"/>
      <c r="R1" s="1820"/>
      <c r="S1" s="1821"/>
    </row>
    <row r="2" spans="1:21" ht="27" customHeight="1" x14ac:dyDescent="0.2">
      <c r="A2" s="485"/>
      <c r="B2" s="599"/>
      <c r="C2" s="599"/>
      <c r="D2" s="599"/>
      <c r="E2" s="161"/>
      <c r="F2" s="162"/>
      <c r="G2" s="162"/>
      <c r="H2" s="162"/>
      <c r="I2" s="436" t="str">
        <f>'Input Data'!E2</f>
        <v xml:space="preserve">CIVIL &amp; STRUCTURAL ENGINEERING  </v>
      </c>
      <c r="K2" s="436"/>
      <c r="L2" s="436"/>
      <c r="M2" s="436"/>
      <c r="N2" s="436"/>
      <c r="O2" s="436"/>
      <c r="P2" s="436"/>
      <c r="Q2" s="125"/>
      <c r="R2" s="125"/>
      <c r="S2" s="131"/>
    </row>
    <row r="3" spans="1:21" ht="27" customHeight="1" x14ac:dyDescent="0.2">
      <c r="A3" s="600"/>
      <c r="B3" s="601"/>
      <c r="C3" s="601"/>
      <c r="D3" s="601"/>
      <c r="E3" s="163"/>
      <c r="F3" s="132"/>
      <c r="G3" s="132"/>
      <c r="H3" s="132"/>
      <c r="I3" s="132"/>
      <c r="J3" s="132"/>
      <c r="K3" s="1822" t="str">
        <f>'Input Data'!E3</f>
        <v>ENGINEERING PROJECT:  2011 NDPW FEES</v>
      </c>
      <c r="L3" s="1823"/>
      <c r="M3" s="1823"/>
      <c r="N3" s="1823"/>
      <c r="O3" s="1823"/>
      <c r="P3" s="1824"/>
      <c r="Q3" s="1824"/>
      <c r="R3" s="30"/>
      <c r="S3" s="640" t="str">
        <f>'Input Data'!H3</f>
        <v>Version: 1.2  2012-10</v>
      </c>
    </row>
    <row r="4" spans="1:21" ht="27" customHeight="1" x14ac:dyDescent="0.2">
      <c r="A4" s="129"/>
      <c r="B4" s="125"/>
      <c r="C4" s="30"/>
      <c r="D4" s="30"/>
      <c r="E4" s="30"/>
      <c r="F4" s="30"/>
      <c r="G4" s="30"/>
      <c r="H4" s="30"/>
      <c r="I4" s="30"/>
      <c r="J4" s="30"/>
      <c r="K4" s="125"/>
      <c r="L4" s="125"/>
      <c r="M4" s="125"/>
      <c r="N4" s="125"/>
      <c r="O4" s="125"/>
      <c r="P4" s="125"/>
      <c r="Q4" s="125"/>
      <c r="R4" s="408"/>
      <c r="S4" s="409"/>
    </row>
    <row r="5" spans="1:21" ht="20.25" customHeight="1" x14ac:dyDescent="0.2">
      <c r="A5" s="423"/>
      <c r="B5" s="368" t="s">
        <v>18</v>
      </c>
      <c r="C5" s="1480">
        <f>'Input Data'!$D$28</f>
        <v>0</v>
      </c>
      <c r="D5" s="267"/>
      <c r="E5" s="125"/>
      <c r="F5" s="602"/>
      <c r="G5" s="125"/>
      <c r="H5" s="602"/>
      <c r="I5" s="602"/>
      <c r="J5" s="602"/>
      <c r="K5" s="602"/>
      <c r="L5" s="19"/>
      <c r="M5" s="19"/>
      <c r="N5" s="19"/>
      <c r="O5" s="125"/>
      <c r="P5" s="22"/>
      <c r="Q5" s="22"/>
      <c r="R5" s="372" t="s">
        <v>139</v>
      </c>
      <c r="S5" s="641">
        <f>'Input Data'!D27</f>
        <v>0</v>
      </c>
      <c r="T5" s="630"/>
      <c r="U5" s="399"/>
    </row>
    <row r="6" spans="1:21" ht="18" x14ac:dyDescent="0.2">
      <c r="A6" s="386" t="s">
        <v>297</v>
      </c>
      <c r="B6" s="1794">
        <f>'Input Data'!D5</f>
        <v>0</v>
      </c>
      <c r="C6" s="1795"/>
      <c r="D6" s="1795"/>
      <c r="E6" s="385"/>
      <c r="F6" s="385"/>
      <c r="G6" s="385"/>
      <c r="H6" s="385"/>
      <c r="I6" s="1825" t="str">
        <f>'Input Data'!D31</f>
        <v>INCEPTION</v>
      </c>
      <c r="J6" s="1826"/>
      <c r="K6" s="1826"/>
      <c r="L6" s="1826"/>
      <c r="M6" s="1826"/>
      <c r="N6" s="1826"/>
      <c r="O6" s="1827"/>
      <c r="P6" s="1828"/>
      <c r="Q6" s="1123" t="s">
        <v>143</v>
      </c>
      <c r="R6" s="19"/>
      <c r="S6" s="108"/>
    </row>
    <row r="7" spans="1:21" x14ac:dyDescent="0.2">
      <c r="A7" s="129"/>
      <c r="B7" s="125"/>
      <c r="C7" s="125"/>
      <c r="D7" s="628"/>
      <c r="E7" s="628"/>
      <c r="F7" s="628"/>
      <c r="G7" s="628"/>
      <c r="H7" s="628"/>
      <c r="I7" s="628"/>
      <c r="J7" s="628"/>
      <c r="K7" s="628"/>
      <c r="L7" s="628"/>
      <c r="M7" s="628"/>
      <c r="N7" s="628"/>
      <c r="O7" s="628"/>
      <c r="P7" s="628"/>
      <c r="Q7" s="628"/>
      <c r="R7" s="628"/>
      <c r="S7" s="629"/>
    </row>
    <row r="8" spans="1:21" ht="22.5" customHeight="1" x14ac:dyDescent="0.2">
      <c r="A8" s="386" t="s">
        <v>19</v>
      </c>
      <c r="B8" s="1818">
        <f>'Input Data'!D11</f>
        <v>0</v>
      </c>
      <c r="C8" s="1819"/>
      <c r="D8" s="1819"/>
      <c r="E8" s="1819"/>
      <c r="F8" s="1819"/>
      <c r="G8" s="1819"/>
      <c r="H8" s="1819"/>
      <c r="I8" s="1819"/>
      <c r="J8" s="1819"/>
      <c r="K8" s="1819"/>
      <c r="L8" s="1819"/>
      <c r="M8" s="1819"/>
      <c r="N8" s="1819"/>
      <c r="O8" s="1819"/>
      <c r="P8" s="1819"/>
      <c r="Q8" s="1819"/>
      <c r="R8" s="1819"/>
      <c r="S8" s="407"/>
    </row>
    <row r="9" spans="1:21" ht="22.5" customHeight="1" x14ac:dyDescent="0.2">
      <c r="A9" s="386"/>
      <c r="B9" s="639"/>
      <c r="C9" s="626"/>
      <c r="D9" s="626"/>
      <c r="E9" s="626"/>
      <c r="F9" s="626"/>
      <c r="G9" s="626"/>
      <c r="H9" s="626"/>
      <c r="I9" s="626"/>
      <c r="J9" s="626"/>
      <c r="K9" s="626"/>
      <c r="L9" s="626"/>
      <c r="M9" s="626"/>
      <c r="N9" s="626"/>
      <c r="O9" s="626"/>
      <c r="P9" s="626"/>
      <c r="Q9" s="626"/>
      <c r="R9" s="626"/>
      <c r="S9" s="407"/>
    </row>
    <row r="10" spans="1:21" x14ac:dyDescent="0.2">
      <c r="A10" s="112"/>
      <c r="B10" s="372" t="s">
        <v>406</v>
      </c>
      <c r="C10" s="1809">
        <f>'Input Data'!D12</f>
        <v>0</v>
      </c>
      <c r="D10" s="1759"/>
      <c r="E10" s="1759"/>
      <c r="F10" s="1759"/>
      <c r="G10" s="1759"/>
      <c r="H10" s="1759"/>
      <c r="I10" s="1759"/>
      <c r="J10" s="1759"/>
      <c r="K10" s="1759"/>
      <c r="L10" s="1759"/>
      <c r="M10" s="1759"/>
      <c r="N10" s="1759"/>
      <c r="O10" s="1759"/>
      <c r="P10" s="1759"/>
      <c r="Q10" s="631"/>
      <c r="R10" s="9"/>
      <c r="S10" s="108"/>
    </row>
    <row r="11" spans="1:21" x14ac:dyDescent="0.2">
      <c r="A11" s="112"/>
      <c r="B11" s="372"/>
      <c r="C11" s="627"/>
      <c r="D11" s="125"/>
      <c r="E11" s="125"/>
      <c r="F11" s="125"/>
      <c r="G11" s="125"/>
      <c r="H11" s="125"/>
      <c r="I11" s="125"/>
      <c r="J11" s="125"/>
      <c r="K11" s="125"/>
      <c r="L11" s="125"/>
      <c r="M11" s="125"/>
      <c r="N11" s="125"/>
      <c r="O11" s="125"/>
      <c r="P11" s="125"/>
      <c r="Q11" s="631"/>
      <c r="R11" s="9"/>
      <c r="S11" s="108"/>
    </row>
    <row r="12" spans="1:21" x14ac:dyDescent="0.2">
      <c r="A12" s="129"/>
      <c r="B12" s="638" t="s">
        <v>20</v>
      </c>
      <c r="C12" s="1805">
        <f>'Input Data'!D30</f>
        <v>0</v>
      </c>
      <c r="D12" s="1806"/>
      <c r="E12" s="1806"/>
      <c r="F12" s="1806"/>
      <c r="G12" s="1806"/>
      <c r="H12" s="1806"/>
      <c r="I12" s="113"/>
      <c r="J12" s="113"/>
      <c r="K12" s="114"/>
      <c r="L12" s="23"/>
      <c r="M12" s="30"/>
      <c r="N12" s="110"/>
      <c r="O12" s="1807"/>
      <c r="P12" s="1808"/>
      <c r="Q12" s="1713"/>
      <c r="R12" s="30"/>
      <c r="S12" s="115"/>
    </row>
    <row r="13" spans="1:21" ht="8.25" customHeight="1" thickBot="1" x14ac:dyDescent="0.25">
      <c r="A13" s="116"/>
      <c r="B13" s="55"/>
      <c r="C13" s="117"/>
      <c r="D13" s="27"/>
      <c r="E13" s="27"/>
      <c r="F13" s="27"/>
      <c r="G13" s="27"/>
      <c r="H13" s="27"/>
      <c r="I13" s="27"/>
      <c r="J13" s="27"/>
      <c r="K13" s="118"/>
      <c r="L13" s="118"/>
      <c r="M13" s="27"/>
      <c r="N13" s="119"/>
      <c r="O13" s="55"/>
      <c r="P13" s="73"/>
      <c r="Q13" s="120"/>
      <c r="R13" s="55"/>
      <c r="S13" s="109"/>
    </row>
    <row r="14" spans="1:21" ht="15.75" customHeight="1" thickTop="1" x14ac:dyDescent="0.2">
      <c r="A14" s="1816"/>
      <c r="B14" s="1817"/>
      <c r="C14" s="1817"/>
      <c r="D14" s="1817"/>
      <c r="E14" s="1817"/>
      <c r="F14" s="1817"/>
      <c r="G14" s="1817"/>
      <c r="H14" s="1817"/>
      <c r="I14" s="1817"/>
      <c r="J14" s="1817"/>
      <c r="K14" s="1817"/>
      <c r="L14" s="1817"/>
      <c r="M14" s="483"/>
      <c r="N14" s="1810" t="s">
        <v>137</v>
      </c>
      <c r="O14" s="1811"/>
      <c r="P14" s="1811"/>
      <c r="Q14" s="1811"/>
      <c r="R14" s="1812"/>
      <c r="S14" s="889">
        <f>IF('Input Data'!$E$38=1,80%*'Input Data'!$H$48,'Input Data'!$H$48)</f>
        <v>0</v>
      </c>
    </row>
    <row r="15" spans="1:21" ht="15.75" thickBot="1" x14ac:dyDescent="0.25">
      <c r="A15" s="111"/>
      <c r="B15" s="55"/>
      <c r="C15" s="55"/>
      <c r="D15" s="55"/>
      <c r="E15" s="55"/>
      <c r="F15" s="55"/>
      <c r="G15" s="55"/>
      <c r="H15" s="55"/>
      <c r="I15" s="55"/>
      <c r="J15" s="55"/>
      <c r="K15" s="55"/>
      <c r="L15" s="55"/>
      <c r="M15" s="484"/>
      <c r="N15" s="1814" t="s">
        <v>138</v>
      </c>
      <c r="O15" s="1815"/>
      <c r="P15" s="1815"/>
      <c r="Q15" s="1815"/>
      <c r="R15" s="1815"/>
      <c r="S15" s="890">
        <f>IF('Input Data'!E34="y",IF('Input Data'!$E$38=1,80%*'Input Data'!$H$51,'Input Data'!$H$51),0)</f>
        <v>0</v>
      </c>
    </row>
    <row r="16" spans="1:21" ht="27.75" customHeight="1" thickTop="1" x14ac:dyDescent="0.2">
      <c r="A16" s="146" t="s">
        <v>149</v>
      </c>
      <c r="B16" s="35"/>
      <c r="C16" s="35"/>
      <c r="D16" s="35"/>
      <c r="E16" s="35"/>
      <c r="F16" s="35"/>
      <c r="G16" s="35"/>
      <c r="H16" s="35"/>
      <c r="I16" s="35"/>
      <c r="J16" s="35"/>
      <c r="K16" s="35"/>
      <c r="L16" s="35"/>
      <c r="M16" s="35"/>
      <c r="N16" s="35"/>
      <c r="O16" s="35"/>
      <c r="P16" s="35"/>
      <c r="Q16" s="35"/>
      <c r="R16" s="35"/>
      <c r="S16" s="891"/>
    </row>
    <row r="17" spans="1:19" ht="15.75" x14ac:dyDescent="0.2">
      <c r="A17" s="121"/>
      <c r="B17" s="20"/>
      <c r="C17" s="20"/>
      <c r="D17" s="20"/>
      <c r="E17" s="20"/>
      <c r="F17" s="20"/>
      <c r="G17" s="20"/>
      <c r="H17" s="20"/>
      <c r="I17" s="20"/>
      <c r="J17" s="20"/>
      <c r="K17" s="20"/>
      <c r="L17" s="20"/>
      <c r="M17" s="20"/>
      <c r="N17" s="20"/>
      <c r="O17" s="20"/>
      <c r="P17" s="20"/>
      <c r="Q17" s="20"/>
      <c r="R17" s="20"/>
      <c r="S17" s="840"/>
    </row>
    <row r="18" spans="1:19" x14ac:dyDescent="0.2">
      <c r="A18" s="137" t="s">
        <v>27</v>
      </c>
      <c r="B18" s="19"/>
      <c r="C18" s="20"/>
      <c r="D18" s="37"/>
      <c r="E18" s="37"/>
      <c r="F18" s="37"/>
      <c r="G18" s="37"/>
      <c r="H18" s="37"/>
      <c r="I18" s="37"/>
      <c r="J18" s="37"/>
      <c r="K18" s="38"/>
      <c r="L18" s="39"/>
      <c r="M18" s="26">
        <f>'Civ_Struct_Eng_Tax Invoice '!K115</f>
        <v>0</v>
      </c>
      <c r="N18" s="122" t="s">
        <v>118</v>
      </c>
      <c r="O18" s="40">
        <f>'Civ_Struct_Eng_Tax Invoice '!M115</f>
        <v>0.125</v>
      </c>
      <c r="P18" s="41" t="s">
        <v>1</v>
      </c>
      <c r="Q18" s="42">
        <f>'Civ_Struct_Eng_Tax Invoice '!O115</f>
        <v>0</v>
      </c>
      <c r="R18" s="43" t="s">
        <v>3</v>
      </c>
      <c r="S18" s="845">
        <f>IF('Input Data'!$H$48&gt;'Input Data'!$H$21,(M18+O18*Q18),0)</f>
        <v>0</v>
      </c>
    </row>
    <row r="19" spans="1:19" x14ac:dyDescent="0.2">
      <c r="A19" s="45"/>
      <c r="B19" s="19"/>
      <c r="C19" s="20"/>
      <c r="D19" s="46"/>
      <c r="E19" s="46"/>
      <c r="F19" s="46"/>
      <c r="G19" s="46"/>
      <c r="H19" s="46"/>
      <c r="I19" s="46"/>
      <c r="J19" s="46"/>
      <c r="K19" s="20"/>
      <c r="L19" s="20"/>
      <c r="M19" s="26"/>
      <c r="N19" s="26"/>
      <c r="O19" s="49"/>
      <c r="P19" s="41"/>
      <c r="Q19" s="26"/>
      <c r="R19" s="26"/>
      <c r="S19" s="840"/>
    </row>
    <row r="20" spans="1:19" ht="15.75" thickBot="1" x14ac:dyDescent="0.25">
      <c r="A20" s="54"/>
      <c r="B20" s="55"/>
      <c r="C20" s="56"/>
      <c r="D20" s="57"/>
      <c r="E20" s="57"/>
      <c r="F20" s="57"/>
      <c r="G20" s="57"/>
      <c r="H20" s="57"/>
      <c r="I20" s="57"/>
      <c r="J20" s="57"/>
      <c r="K20" s="56"/>
      <c r="L20" s="56"/>
      <c r="M20" s="58"/>
      <c r="N20" s="59"/>
      <c r="O20" s="60"/>
      <c r="P20" s="61"/>
      <c r="Q20" s="59"/>
      <c r="R20" s="59"/>
      <c r="S20" s="892"/>
    </row>
    <row r="21" spans="1:19" ht="25.5" customHeight="1" thickTop="1" x14ac:dyDescent="0.2">
      <c r="A21" s="34" t="s">
        <v>317</v>
      </c>
      <c r="B21" s="19"/>
      <c r="C21" s="20"/>
      <c r="D21" s="46"/>
      <c r="E21" s="46"/>
      <c r="F21" s="46"/>
      <c r="G21" s="46"/>
      <c r="H21" s="46"/>
      <c r="I21" s="46"/>
      <c r="J21" s="46"/>
      <c r="K21" s="20"/>
      <c r="L21" s="20"/>
      <c r="M21" s="47"/>
      <c r="N21" s="26"/>
      <c r="O21" s="49"/>
      <c r="P21" s="41"/>
      <c r="Q21" s="26"/>
      <c r="R21" s="26"/>
      <c r="S21" s="840"/>
    </row>
    <row r="22" spans="1:19" ht="15.75" x14ac:dyDescent="0.2">
      <c r="A22" s="123"/>
      <c r="B22" s="19"/>
      <c r="C22" s="20"/>
      <c r="D22" s="46"/>
      <c r="E22" s="46"/>
      <c r="F22" s="46"/>
      <c r="G22" s="46"/>
      <c r="H22" s="46"/>
      <c r="I22" s="46"/>
      <c r="J22" s="46"/>
      <c r="K22" s="20"/>
      <c r="L22" s="20"/>
      <c r="M22" s="47"/>
      <c r="N22" s="26"/>
      <c r="O22" s="49"/>
      <c r="P22" s="41"/>
      <c r="Q22" s="26"/>
      <c r="R22" s="26"/>
      <c r="S22" s="840"/>
    </row>
    <row r="23" spans="1:19" ht="15" customHeight="1" x14ac:dyDescent="0.2">
      <c r="A23" s="1730" t="s">
        <v>173</v>
      </c>
      <c r="B23" s="1710"/>
      <c r="C23" s="1710"/>
      <c r="D23" s="19"/>
      <c r="E23" s="19"/>
      <c r="F23" s="19"/>
      <c r="G23" s="19"/>
      <c r="H23" s="19"/>
      <c r="I23" s="19"/>
      <c r="J23" s="19"/>
      <c r="K23" s="19"/>
      <c r="L23" s="37"/>
      <c r="M23" s="50">
        <f>IF('Input Data'!$F$31=1,0.05,IF('Input Data'!$F$31=2,Scales!$L$5,IF('Input Data'!$F$31=3,Scales!$L$6,IF('Input Data'!$F$31=4,Scales!$L$7,0.7))))</f>
        <v>0.05</v>
      </c>
      <c r="N23" s="43" t="s">
        <v>2</v>
      </c>
      <c r="O23" s="859">
        <f>'WTW Input'!$H$14</f>
        <v>0</v>
      </c>
      <c r="P23" s="858" t="s">
        <v>25</v>
      </c>
      <c r="Q23" s="859">
        <f>IF('WTW Input'!$H$14&gt;0,$S$18,0)</f>
        <v>0</v>
      </c>
      <c r="R23" s="47"/>
      <c r="S23" s="840">
        <f>IF('WTW Input'!$H$14&gt;0,IF('Input Data'!$D$33="N",(M23*O23/O24*Q23),0),0)</f>
        <v>0</v>
      </c>
    </row>
    <row r="24" spans="1:19" ht="15" customHeight="1" x14ac:dyDescent="0.2">
      <c r="A24" s="1709"/>
      <c r="B24" s="1710"/>
      <c r="C24" s="1710"/>
      <c r="D24" s="19"/>
      <c r="E24" s="19"/>
      <c r="F24" s="19"/>
      <c r="G24" s="19"/>
      <c r="H24" s="19"/>
      <c r="I24" s="19"/>
      <c r="J24" s="19"/>
      <c r="K24" s="63"/>
      <c r="L24" s="46"/>
      <c r="M24" s="50"/>
      <c r="N24" s="26"/>
      <c r="O24" s="857">
        <f>IF('WTW Input'!$H$14&gt;0,'Input Data'!$H$48,0)</f>
        <v>0</v>
      </c>
      <c r="P24" s="858"/>
      <c r="Q24" s="859"/>
      <c r="R24" s="47"/>
      <c r="S24" s="840"/>
    </row>
    <row r="25" spans="1:19" ht="15" customHeight="1" x14ac:dyDescent="0.2">
      <c r="A25" s="64"/>
      <c r="B25" s="65"/>
      <c r="C25" s="19"/>
      <c r="D25" s="19"/>
      <c r="E25" s="19"/>
      <c r="F25" s="19"/>
      <c r="G25" s="19"/>
      <c r="H25" s="19"/>
      <c r="I25" s="19"/>
      <c r="J25" s="19"/>
      <c r="K25" s="66"/>
      <c r="L25" s="51"/>
      <c r="M25" s="67"/>
      <c r="N25" s="68"/>
      <c r="O25" s="860"/>
      <c r="P25" s="861"/>
      <c r="Q25" s="860"/>
      <c r="R25" s="68"/>
      <c r="S25" s="822"/>
    </row>
    <row r="26" spans="1:19" ht="15" customHeight="1" x14ac:dyDescent="0.2">
      <c r="A26" s="1711" t="s">
        <v>167</v>
      </c>
      <c r="B26" s="1726"/>
      <c r="C26" s="1726"/>
      <c r="D26" s="1726"/>
      <c r="E26" s="138"/>
      <c r="F26" s="138"/>
      <c r="G26" s="9"/>
      <c r="H26" s="9"/>
      <c r="I26" s="19"/>
      <c r="J26" s="37"/>
      <c r="K26" s="66">
        <f>IF('WTW Input'!$H$15&gt;0,0.25,0)</f>
        <v>0</v>
      </c>
      <c r="L26" s="37" t="s">
        <v>1</v>
      </c>
      <c r="M26" s="50">
        <f>IF('Input Data'!$F$31=1,0.05,IF('Input Data'!$F$31=2,Scales!$L$5,IF('Input Data'!$F$31=3,Scales!$L$6,IF('Input Data'!$F$31=4,Scales!$L$7,0.7))))</f>
        <v>0.05</v>
      </c>
      <c r="N26" s="43" t="s">
        <v>2</v>
      </c>
      <c r="O26" s="859">
        <f>'WTW Input'!$H$15</f>
        <v>0</v>
      </c>
      <c r="P26" s="858" t="s">
        <v>25</v>
      </c>
      <c r="Q26" s="859">
        <f>IF('WTW Input'!$H$15&gt;0,$S$18,0)</f>
        <v>0</v>
      </c>
      <c r="R26" s="68"/>
      <c r="S26" s="840">
        <f>IF('WTW Input'!$H$15&gt;0,IF('Input Data'!$D$33="N",(K26*M26*O26/O27*Q26),0),0)</f>
        <v>0</v>
      </c>
    </row>
    <row r="27" spans="1:19" ht="15" customHeight="1" x14ac:dyDescent="0.2">
      <c r="A27" s="1813"/>
      <c r="B27" s="1726"/>
      <c r="C27" s="1726"/>
      <c r="D27" s="1726"/>
      <c r="E27" s="138"/>
      <c r="F27" s="138"/>
      <c r="G27" s="9"/>
      <c r="H27" s="9"/>
      <c r="I27" s="9"/>
      <c r="J27" s="9"/>
      <c r="K27" s="66"/>
      <c r="L27" s="51"/>
      <c r="M27" s="67"/>
      <c r="N27" s="68"/>
      <c r="O27" s="857">
        <f>IF('WTW Input'!$H$15&gt;0,'Input Data'!$H$48,0)</f>
        <v>0</v>
      </c>
      <c r="P27" s="861"/>
      <c r="Q27" s="860"/>
      <c r="R27" s="68"/>
      <c r="S27" s="822"/>
    </row>
    <row r="28" spans="1:19" ht="15" customHeight="1" x14ac:dyDescent="0.2">
      <c r="A28" s="6"/>
      <c r="B28" s="9"/>
      <c r="C28" s="9"/>
      <c r="D28" s="9"/>
      <c r="E28" s="9"/>
      <c r="F28" s="9"/>
      <c r="G28" s="9"/>
      <c r="H28" s="9"/>
      <c r="I28" s="9"/>
      <c r="J28" s="9"/>
      <c r="K28" s="66"/>
      <c r="L28" s="51"/>
      <c r="M28" s="67"/>
      <c r="N28" s="68"/>
      <c r="O28" s="860"/>
      <c r="P28" s="861"/>
      <c r="Q28" s="860"/>
      <c r="R28" s="68"/>
      <c r="S28" s="822"/>
    </row>
    <row r="29" spans="1:19" ht="15" customHeight="1" x14ac:dyDescent="0.2">
      <c r="A29" s="1715" t="s">
        <v>165</v>
      </c>
      <c r="B29" s="1726"/>
      <c r="C29" s="1803"/>
      <c r="D29" s="1803"/>
      <c r="E29" s="391"/>
      <c r="F29" s="391"/>
      <c r="G29" s="391"/>
      <c r="H29" s="391"/>
      <c r="I29" s="19"/>
      <c r="J29" s="37"/>
      <c r="K29" s="66">
        <f>IF('WTW Input'!$H$16&gt;0,1.25,0)</f>
        <v>0</v>
      </c>
      <c r="L29" s="37" t="s">
        <v>1</v>
      </c>
      <c r="M29" s="50">
        <f>IF('Input Data'!$F$31=1,0.05,IF('Input Data'!$F$31=2,Scales!$L$5,IF('Input Data'!$F$31=3,Scales!$L$6,IF('Input Data'!$F$31=4,Scales!$L$7,0.7))))</f>
        <v>0.05</v>
      </c>
      <c r="N29" s="43" t="s">
        <v>2</v>
      </c>
      <c r="O29" s="859">
        <f>'WTW Input'!$H$16</f>
        <v>0</v>
      </c>
      <c r="P29" s="858" t="s">
        <v>25</v>
      </c>
      <c r="Q29" s="859">
        <f>IF('WTW Input'!$H$16&gt;0,$S$18,0)</f>
        <v>0</v>
      </c>
      <c r="R29" s="26"/>
      <c r="S29" s="840">
        <f>IF('WTW Input'!$H$16&gt;0,IF('Input Data'!$D$33="N",(K29*M29*O29/O30*Q29),0),0)</f>
        <v>0</v>
      </c>
    </row>
    <row r="30" spans="1:19" ht="15" customHeight="1" x14ac:dyDescent="0.2">
      <c r="A30" s="1804"/>
      <c r="B30" s="1803"/>
      <c r="C30" s="1803"/>
      <c r="D30" s="1803"/>
      <c r="E30" s="391"/>
      <c r="F30" s="391"/>
      <c r="G30" s="19"/>
      <c r="H30" s="19"/>
      <c r="I30" s="19"/>
      <c r="J30" s="19"/>
      <c r="K30" s="66"/>
      <c r="L30" s="51"/>
      <c r="M30" s="67"/>
      <c r="N30" s="68"/>
      <c r="O30" s="857">
        <f>IF('WTW Input'!$H$16&gt;0,'Input Data'!$H$48,0)</f>
        <v>0</v>
      </c>
      <c r="P30" s="861"/>
      <c r="Q30" s="860"/>
      <c r="R30" s="68"/>
      <c r="S30" s="822"/>
    </row>
    <row r="31" spans="1:19" ht="12" customHeight="1" x14ac:dyDescent="0.2">
      <c r="A31" s="64"/>
      <c r="B31" s="65"/>
      <c r="C31" s="19"/>
      <c r="D31" s="19"/>
      <c r="E31" s="19"/>
      <c r="F31" s="19"/>
      <c r="G31" s="19"/>
      <c r="H31" s="19"/>
      <c r="I31" s="19"/>
      <c r="J31" s="19"/>
      <c r="K31" s="66"/>
      <c r="L31" s="51"/>
      <c r="M31" s="67"/>
      <c r="N31" s="68"/>
      <c r="O31" s="860"/>
      <c r="P31" s="861"/>
      <c r="Q31" s="860"/>
      <c r="R31" s="68"/>
      <c r="S31" s="822"/>
    </row>
    <row r="32" spans="1:19" ht="21.75" customHeight="1" x14ac:dyDescent="0.2">
      <c r="A32" s="1715" t="s">
        <v>168</v>
      </c>
      <c r="B32" s="1726"/>
      <c r="C32" s="1803"/>
      <c r="D32" s="1803"/>
      <c r="E32" s="391"/>
      <c r="F32" s="391"/>
      <c r="G32" s="391"/>
      <c r="H32" s="391"/>
      <c r="I32" s="19"/>
      <c r="J32" s="37"/>
      <c r="K32" s="70">
        <f>IF('WTW Input'!$H$17&gt;0,0.33,0)</f>
        <v>0</v>
      </c>
      <c r="L32" s="37" t="s">
        <v>1</v>
      </c>
      <c r="M32" s="50">
        <f>IF('Input Data'!$F$31=1,0.05,IF('Input Data'!$F$31=2,Scales!$L$5,IF('Input Data'!$F$31=3,Scales!$L$6,IF('Input Data'!$F$31=4,Scales!$L$7,0.7))))</f>
        <v>0.05</v>
      </c>
      <c r="N32" s="43" t="s">
        <v>2</v>
      </c>
      <c r="O32" s="859">
        <f>'WTW Input'!$H$17</f>
        <v>0</v>
      </c>
      <c r="P32" s="858" t="s">
        <v>25</v>
      </c>
      <c r="Q32" s="859">
        <f>IF('WTW Input'!$H$17&gt;0,$S$18,0)</f>
        <v>0</v>
      </c>
      <c r="R32" s="26"/>
      <c r="S32" s="840">
        <f>IF('WTW Input'!$H$17&gt;0,IF('Input Data'!$D$33="N",(K32*M32*O32/O33*Q32),0),0)</f>
        <v>0</v>
      </c>
    </row>
    <row r="33" spans="1:19" ht="21.75" customHeight="1" x14ac:dyDescent="0.2">
      <c r="A33" s="1804"/>
      <c r="B33" s="1803"/>
      <c r="C33" s="1803"/>
      <c r="D33" s="1803"/>
      <c r="E33" s="391"/>
      <c r="F33" s="391"/>
      <c r="G33" s="19"/>
      <c r="H33" s="19"/>
      <c r="I33" s="19"/>
      <c r="J33" s="19"/>
      <c r="K33" s="66"/>
      <c r="L33" s="51"/>
      <c r="M33" s="50"/>
      <c r="N33" s="43"/>
      <c r="O33" s="857">
        <f>IF('WTW Input'!$H$17&gt;0,'Input Data'!$H$48,0)</f>
        <v>0</v>
      </c>
      <c r="P33" s="861"/>
      <c r="Q33" s="864"/>
      <c r="R33" s="68"/>
      <c r="S33" s="822"/>
    </row>
    <row r="34" spans="1:19" ht="9" customHeight="1" x14ac:dyDescent="0.2">
      <c r="A34" s="400"/>
      <c r="B34" s="30"/>
      <c r="C34" s="30"/>
      <c r="D34" s="30"/>
      <c r="E34" s="30"/>
      <c r="F34" s="30"/>
      <c r="G34" s="30"/>
      <c r="H34" s="30"/>
      <c r="I34" s="30"/>
      <c r="J34" s="30"/>
      <c r="K34" s="30"/>
      <c r="L34" s="30"/>
      <c r="M34" s="30"/>
      <c r="N34" s="30"/>
      <c r="O34" s="865"/>
      <c r="P34" s="865"/>
      <c r="Q34" s="865"/>
      <c r="R34" s="30"/>
      <c r="S34" s="893"/>
    </row>
    <row r="35" spans="1:19" ht="15.75" customHeight="1" x14ac:dyDescent="0.2">
      <c r="A35" s="1711" t="s">
        <v>166</v>
      </c>
      <c r="B35" s="1726"/>
      <c r="C35" s="1726"/>
      <c r="D35" s="1726"/>
      <c r="E35" s="138"/>
      <c r="F35" s="138"/>
      <c r="G35" s="19"/>
      <c r="H35" s="37"/>
      <c r="I35" s="66">
        <f>IF('WTW Input'!$H$18&gt;0,0.33,0)</f>
        <v>0</v>
      </c>
      <c r="J35" s="37" t="s">
        <v>1</v>
      </c>
      <c r="K35" s="66">
        <f>IF('WTW Input'!$H$18&gt;0,1.25,0)</f>
        <v>0</v>
      </c>
      <c r="L35" s="37" t="s">
        <v>1</v>
      </c>
      <c r="M35" s="50">
        <f>IF('Input Data'!$F$31=1,0.05,IF('Input Data'!$F$31=2,Scales!$L$5,IF('Input Data'!$F$31=3,Scales!$L$6,IF('Input Data'!$F$31=4,Scales!$L$7,0.7))))</f>
        <v>0.05</v>
      </c>
      <c r="N35" s="43" t="s">
        <v>2</v>
      </c>
      <c r="O35" s="859">
        <f>'WTW Input'!$H$18</f>
        <v>0</v>
      </c>
      <c r="P35" s="858" t="s">
        <v>25</v>
      </c>
      <c r="Q35" s="859">
        <f>IF('WTW Input'!$H$18&gt;0,$S$18,0)</f>
        <v>0</v>
      </c>
      <c r="R35" s="68"/>
      <c r="S35" s="840">
        <f>IF('WTW Input'!$H$18&gt;0,IF('Input Data'!$D$33="N",(I35*K35*M35*O35/O36*Q35),0),0)</f>
        <v>0</v>
      </c>
    </row>
    <row r="36" spans="1:19" ht="24" customHeight="1" x14ac:dyDescent="0.2">
      <c r="A36" s="1813"/>
      <c r="B36" s="1726"/>
      <c r="C36" s="1726"/>
      <c r="D36" s="1726"/>
      <c r="E36" s="138"/>
      <c r="F36" s="138"/>
      <c r="G36" s="9"/>
      <c r="H36" s="9"/>
      <c r="I36" s="9"/>
      <c r="J36" s="9"/>
      <c r="K36" s="66"/>
      <c r="L36" s="51"/>
      <c r="M36" s="50"/>
      <c r="N36" s="68"/>
      <c r="O36" s="857">
        <f>IF('WTW Input'!$H$18&gt;0,'Input Data'!$H$48,0)</f>
        <v>0</v>
      </c>
      <c r="P36" s="861"/>
      <c r="Q36" s="860"/>
      <c r="R36" s="68"/>
      <c r="S36" s="822"/>
    </row>
    <row r="37" spans="1:19" x14ac:dyDescent="0.2">
      <c r="A37" s="6"/>
      <c r="B37" s="9"/>
      <c r="C37" s="9"/>
      <c r="D37" s="9"/>
      <c r="E37" s="9"/>
      <c r="F37" s="9"/>
      <c r="G37" s="9"/>
      <c r="H37" s="9"/>
      <c r="I37" s="9"/>
      <c r="J37" s="9"/>
      <c r="K37" s="66"/>
      <c r="L37" s="51"/>
      <c r="M37" s="67"/>
      <c r="N37" s="68"/>
      <c r="O37" s="860"/>
      <c r="P37" s="861"/>
      <c r="Q37" s="860"/>
      <c r="R37" s="68"/>
      <c r="S37" s="822"/>
    </row>
    <row r="38" spans="1:19" ht="15.75" customHeight="1" x14ac:dyDescent="0.2">
      <c r="A38" s="1711" t="s">
        <v>169</v>
      </c>
      <c r="B38" s="1829"/>
      <c r="C38" s="1829"/>
      <c r="D38" s="1829"/>
      <c r="E38" s="139"/>
      <c r="F38" s="139"/>
      <c r="G38" s="19"/>
      <c r="H38" s="37"/>
      <c r="I38" s="66">
        <f>IF('WTW Input'!$H$19&gt;0,0.33,0)</f>
        <v>0</v>
      </c>
      <c r="J38" s="37" t="s">
        <v>1</v>
      </c>
      <c r="K38" s="71">
        <f>IF('WTW Input'!$H$19&gt;0,0.25,0)</f>
        <v>0</v>
      </c>
      <c r="L38" s="37" t="s">
        <v>1</v>
      </c>
      <c r="M38" s="50">
        <f>IF('Input Data'!$F$31=1,0.05,IF('Input Data'!$F$31=2,Scales!$L$5,IF('Input Data'!$F$31=3,Scales!$L$6,IF('Input Data'!$F$31=4,Scales!$L$7,0.7))))</f>
        <v>0.05</v>
      </c>
      <c r="N38" s="43" t="s">
        <v>2</v>
      </c>
      <c r="O38" s="859">
        <f>'WTW Input'!$H$19</f>
        <v>0</v>
      </c>
      <c r="P38" s="858" t="s">
        <v>25</v>
      </c>
      <c r="Q38" s="859">
        <f>IF('WTW Input'!$H$19&gt;0,$S$18,0)</f>
        <v>0</v>
      </c>
      <c r="R38" s="68"/>
      <c r="S38" s="840">
        <f>IF('WTW Input'!$H$19&gt;0,IF('Input Data'!$D$33="N",(I38*K38*M38*O38/O39*Q38),0),0)</f>
        <v>0</v>
      </c>
    </row>
    <row r="39" spans="1:19" ht="21.75" customHeight="1" x14ac:dyDescent="0.2">
      <c r="A39" s="1711"/>
      <c r="B39" s="1829"/>
      <c r="C39" s="1829"/>
      <c r="D39" s="1829"/>
      <c r="E39" s="139"/>
      <c r="F39" s="139"/>
      <c r="G39" s="9"/>
      <c r="H39" s="9"/>
      <c r="I39" s="9"/>
      <c r="J39" s="9"/>
      <c r="K39" s="66"/>
      <c r="L39" s="51"/>
      <c r="M39" s="50"/>
      <c r="N39" s="68"/>
      <c r="O39" s="857">
        <f>IF('WTW Input'!$H$19&gt;0,'Input Data'!$H$48,0)</f>
        <v>0</v>
      </c>
      <c r="P39" s="861"/>
      <c r="Q39" s="860"/>
      <c r="R39" s="68"/>
      <c r="S39" s="822"/>
    </row>
    <row r="40" spans="1:19" x14ac:dyDescent="0.2">
      <c r="A40" s="6"/>
      <c r="B40" s="9"/>
      <c r="C40" s="9"/>
      <c r="D40" s="9"/>
      <c r="E40" s="9"/>
      <c r="F40" s="9"/>
      <c r="G40" s="9"/>
      <c r="H40" s="9"/>
      <c r="I40" s="9"/>
      <c r="J40" s="9"/>
      <c r="K40" s="66"/>
      <c r="L40" s="51"/>
      <c r="M40" s="67"/>
      <c r="N40" s="68"/>
      <c r="O40" s="860"/>
      <c r="P40" s="861"/>
      <c r="Q40" s="860"/>
      <c r="R40" s="68"/>
      <c r="S40" s="822"/>
    </row>
    <row r="41" spans="1:19" x14ac:dyDescent="0.2">
      <c r="A41" s="1711" t="s">
        <v>170</v>
      </c>
      <c r="B41" s="1726"/>
      <c r="C41" s="1726"/>
      <c r="D41" s="1726"/>
      <c r="E41" s="138"/>
      <c r="F41" s="138"/>
      <c r="G41" s="19"/>
      <c r="H41" s="37"/>
      <c r="I41" s="66">
        <f>IF('WTW Input'!$H$20&gt;0,1.25,0)</f>
        <v>0</v>
      </c>
      <c r="J41" s="37" t="s">
        <v>1</v>
      </c>
      <c r="K41" s="71">
        <f>IF('WTW Input'!$H$20&gt;0,0.25,0)</f>
        <v>0</v>
      </c>
      <c r="L41" s="37" t="s">
        <v>1</v>
      </c>
      <c r="M41" s="50">
        <f>IF('Input Data'!$F$31=1,0.05,IF('Input Data'!$F$31=2,Scales!$L$5,IF('Input Data'!$F$31=3,Scales!$L$6,IF('Input Data'!$F$31=4,Scales!$L$7,0.7))))</f>
        <v>0.05</v>
      </c>
      <c r="N41" s="43" t="s">
        <v>2</v>
      </c>
      <c r="O41" s="859">
        <f>'WTW Input'!$H$20</f>
        <v>0</v>
      </c>
      <c r="P41" s="858" t="s">
        <v>25</v>
      </c>
      <c r="Q41" s="859">
        <f>IF('WTW Input'!$H$20&gt;0,$S$18,0)</f>
        <v>0</v>
      </c>
      <c r="R41" s="68"/>
      <c r="S41" s="840">
        <f>IF('WTW Input'!$H$20&gt;0,IF('Input Data'!$D$33="N",(I41*K41*M41*O41/O42*Q41),0),0)</f>
        <v>0</v>
      </c>
    </row>
    <row r="42" spans="1:19" x14ac:dyDescent="0.2">
      <c r="A42" s="1813"/>
      <c r="B42" s="1726"/>
      <c r="C42" s="1726"/>
      <c r="D42" s="1726"/>
      <c r="E42" s="138"/>
      <c r="F42" s="138"/>
      <c r="G42" s="9"/>
      <c r="H42" s="9"/>
      <c r="I42" s="9"/>
      <c r="J42" s="9"/>
      <c r="K42" s="66"/>
      <c r="L42" s="51"/>
      <c r="M42" s="50"/>
      <c r="N42" s="68"/>
      <c r="O42" s="857">
        <f>IF('WTW Input'!$H$20&gt;0,'Input Data'!$H$48,0)</f>
        <v>0</v>
      </c>
      <c r="P42" s="861"/>
      <c r="Q42" s="860"/>
      <c r="R42" s="68"/>
      <c r="S42" s="822"/>
    </row>
    <row r="43" spans="1:19" x14ac:dyDescent="0.2">
      <c r="A43" s="6"/>
      <c r="B43" s="9"/>
      <c r="C43" s="9"/>
      <c r="D43" s="9"/>
      <c r="E43" s="9"/>
      <c r="F43" s="9"/>
      <c r="G43" s="9"/>
      <c r="H43" s="9"/>
      <c r="I43" s="9"/>
      <c r="J43" s="9"/>
      <c r="K43" s="66"/>
      <c r="L43" s="51"/>
      <c r="M43" s="67"/>
      <c r="N43" s="68"/>
      <c r="O43" s="860"/>
      <c r="P43" s="861"/>
      <c r="Q43" s="860"/>
      <c r="R43" s="68"/>
      <c r="S43" s="822"/>
    </row>
    <row r="44" spans="1:19" x14ac:dyDescent="0.2">
      <c r="A44" s="1711" t="s">
        <v>171</v>
      </c>
      <c r="B44" s="1726"/>
      <c r="C44" s="1726"/>
      <c r="D44" s="1726"/>
      <c r="E44" s="19"/>
      <c r="F44" s="37"/>
      <c r="G44" s="66">
        <f>IF('WTW Input'!$H$21&gt;0,1.25,0)</f>
        <v>0</v>
      </c>
      <c r="H44" s="37" t="s">
        <v>1</v>
      </c>
      <c r="I44" s="66">
        <f>IF('WTW Input'!$H$21&gt;0,0.33,0)</f>
        <v>0</v>
      </c>
      <c r="J44" s="37" t="s">
        <v>1</v>
      </c>
      <c r="K44" s="71">
        <f>IF('WTW Input'!$H$21&gt;0,0.25,0)</f>
        <v>0</v>
      </c>
      <c r="L44" s="37" t="s">
        <v>1</v>
      </c>
      <c r="M44" s="50">
        <f>IF('Input Data'!$F$31=1,0.05,IF('Input Data'!$F$31=2,Scales!$L$5,IF('Input Data'!$F$31=3,Scales!$L$6,IF('Input Data'!$F$31=4,Scales!$L$7,0.7))))</f>
        <v>0.05</v>
      </c>
      <c r="N44" s="43" t="s">
        <v>2</v>
      </c>
      <c r="O44" s="859">
        <f>'WTW Input'!$H$21</f>
        <v>0</v>
      </c>
      <c r="P44" s="858" t="s">
        <v>25</v>
      </c>
      <c r="Q44" s="859">
        <f>IF('WTW Input'!$H$21&gt;0,$S$18,0)</f>
        <v>0</v>
      </c>
      <c r="R44" s="68"/>
      <c r="S44" s="840">
        <f>IF('WTW Input'!$H$21&gt;0,IF('Input Data'!$D$33="N",(G44*I44*K44*M44*O44/O45*Q44),0),0)</f>
        <v>0</v>
      </c>
    </row>
    <row r="45" spans="1:19" ht="24" customHeight="1" x14ac:dyDescent="0.2">
      <c r="A45" s="1813"/>
      <c r="B45" s="1726"/>
      <c r="C45" s="1726"/>
      <c r="D45" s="1726"/>
      <c r="E45" s="138"/>
      <c r="F45" s="138"/>
      <c r="G45" s="9"/>
      <c r="H45" s="9"/>
      <c r="I45" s="9"/>
      <c r="J45" s="9"/>
      <c r="K45" s="66"/>
      <c r="L45" s="51"/>
      <c r="M45" s="50"/>
      <c r="N45" s="68"/>
      <c r="O45" s="857">
        <f>IF('WTW Input'!$H$21&gt;0,'Input Data'!$H$48,0)</f>
        <v>0</v>
      </c>
      <c r="P45" s="861"/>
      <c r="Q45" s="860"/>
      <c r="R45" s="68"/>
      <c r="S45" s="822"/>
    </row>
    <row r="46" spans="1:19" ht="32.25" customHeight="1" x14ac:dyDescent="0.2">
      <c r="A46" s="1830" t="s">
        <v>176</v>
      </c>
      <c r="B46" s="1710"/>
      <c r="C46" s="1710"/>
      <c r="D46" s="1710"/>
      <c r="E46" s="1710"/>
      <c r="F46" s="1710"/>
      <c r="G46" s="1710"/>
      <c r="H46" s="1710"/>
      <c r="I46" s="1710"/>
      <c r="J46" s="1710"/>
      <c r="K46" s="1710"/>
      <c r="L46" s="1710"/>
      <c r="M46" s="1710"/>
      <c r="N46" s="1710"/>
      <c r="O46" s="1710"/>
      <c r="P46" s="1710"/>
      <c r="Q46" s="1710"/>
      <c r="R46" s="68"/>
      <c r="S46" s="894">
        <f>IF(S14=0,0,SUM(S23:S45))</f>
        <v>0</v>
      </c>
    </row>
    <row r="47" spans="1:19" ht="15.75" thickBot="1" x14ac:dyDescent="0.25">
      <c r="A47" s="72"/>
      <c r="B47" s="15"/>
      <c r="C47" s="55"/>
      <c r="D47" s="55"/>
      <c r="E47" s="55"/>
      <c r="F47" s="55"/>
      <c r="G47" s="55"/>
      <c r="H47" s="55"/>
      <c r="I47" s="55"/>
      <c r="J47" s="55"/>
      <c r="K47" s="74"/>
      <c r="L47" s="75"/>
      <c r="M47" s="76"/>
      <c r="N47" s="77"/>
      <c r="O47" s="77"/>
      <c r="P47" s="78"/>
      <c r="Q47" s="77"/>
      <c r="R47" s="77"/>
      <c r="S47" s="895"/>
    </row>
    <row r="48" spans="1:19" ht="27.75" customHeight="1" thickTop="1" x14ac:dyDescent="0.2">
      <c r="A48" s="83" t="s">
        <v>318</v>
      </c>
      <c r="B48" s="65"/>
      <c r="C48" s="65"/>
      <c r="D48" s="65"/>
      <c r="E48" s="65"/>
      <c r="F48" s="65"/>
      <c r="G48" s="19"/>
      <c r="H48" s="19"/>
      <c r="I48" s="19"/>
      <c r="J48" s="19"/>
      <c r="K48" s="19"/>
      <c r="L48" s="19"/>
      <c r="M48" s="19"/>
      <c r="N48" s="19"/>
      <c r="O48" s="19"/>
      <c r="P48" s="19"/>
      <c r="Q48" s="19"/>
      <c r="R48" s="19"/>
      <c r="S48" s="824"/>
    </row>
    <row r="49" spans="1:19" x14ac:dyDescent="0.2">
      <c r="A49" s="411"/>
      <c r="B49" s="19"/>
      <c r="C49" s="19"/>
      <c r="D49" s="19"/>
      <c r="E49" s="19"/>
      <c r="F49" s="19"/>
      <c r="G49" s="19"/>
      <c r="H49" s="19"/>
      <c r="I49" s="19"/>
      <c r="J49" s="19"/>
      <c r="K49" s="19"/>
      <c r="L49" s="19"/>
      <c r="M49" s="19"/>
      <c r="N49" s="19"/>
      <c r="O49" s="19"/>
      <c r="P49" s="19"/>
      <c r="Q49" s="19"/>
      <c r="R49" s="19"/>
      <c r="S49" s="824"/>
    </row>
    <row r="50" spans="1:19" x14ac:dyDescent="0.2">
      <c r="A50" s="1730" t="s">
        <v>173</v>
      </c>
      <c r="B50" s="1710"/>
      <c r="C50" s="1710"/>
      <c r="D50" s="37"/>
      <c r="E50" s="37"/>
      <c r="F50" s="37"/>
      <c r="G50" s="37"/>
      <c r="H50" s="37"/>
      <c r="I50" s="37"/>
      <c r="J50" s="37"/>
      <c r="K50" s="19"/>
      <c r="L50" s="37"/>
      <c r="M50" s="50">
        <f>IF('Input Data'!$F$31&lt;5,0,IF('Input Data'!$F$31=5,0.25,IF('Input Data'!$F$31=6,0.3)))</f>
        <v>0</v>
      </c>
      <c r="N50" s="39" t="s">
        <v>2</v>
      </c>
      <c r="O50" s="859">
        <f>IF('Input Data'!$F$31&gt;4,'WTW Input'!$H$26,0)</f>
        <v>0</v>
      </c>
      <c r="P50" s="858" t="s">
        <v>25</v>
      </c>
      <c r="Q50" s="868">
        <f>IF('WTW Input'!$H$26&gt;0,IF('Input Data'!$F$31&gt;4,$S$18,0),0)</f>
        <v>0</v>
      </c>
      <c r="R50" s="26"/>
      <c r="S50" s="840">
        <f>IF('WTW Input'!$H$26&gt;0,IF('Input Data'!$F$31&gt;4,(M50*O50/O51*Q50),0),0)</f>
        <v>0</v>
      </c>
    </row>
    <row r="51" spans="1:19" x14ac:dyDescent="0.2">
      <c r="A51" s="1709"/>
      <c r="B51" s="1710"/>
      <c r="C51" s="1710"/>
      <c r="D51" s="46"/>
      <c r="E51" s="46"/>
      <c r="F51" s="46"/>
      <c r="G51" s="46"/>
      <c r="H51" s="46"/>
      <c r="I51" s="46"/>
      <c r="J51" s="46"/>
      <c r="K51" s="19"/>
      <c r="L51" s="19"/>
      <c r="M51" s="50"/>
      <c r="N51" s="20"/>
      <c r="O51" s="857">
        <f>IF('WTW Input'!$H$26&gt;0,'Input Data'!$H$48,0)</f>
        <v>0</v>
      </c>
      <c r="P51" s="858"/>
      <c r="Q51" s="859"/>
      <c r="R51" s="26"/>
      <c r="S51" s="840"/>
    </row>
    <row r="52" spans="1:19" x14ac:dyDescent="0.2">
      <c r="A52" s="45"/>
      <c r="B52" s="19"/>
      <c r="C52" s="20"/>
      <c r="D52" s="46"/>
      <c r="E52" s="46"/>
      <c r="F52" s="46"/>
      <c r="G52" s="46"/>
      <c r="H52" s="46"/>
      <c r="I52" s="46"/>
      <c r="J52" s="46"/>
      <c r="K52" s="19"/>
      <c r="L52" s="19"/>
      <c r="M52" s="50"/>
      <c r="N52" s="20"/>
      <c r="O52" s="870"/>
      <c r="P52" s="858"/>
      <c r="Q52" s="859"/>
      <c r="R52" s="26"/>
      <c r="S52" s="840"/>
    </row>
    <row r="53" spans="1:19" x14ac:dyDescent="0.2">
      <c r="A53" s="1715" t="s">
        <v>165</v>
      </c>
      <c r="B53" s="1726"/>
      <c r="C53" s="1803"/>
      <c r="D53" s="37"/>
      <c r="E53" s="37"/>
      <c r="F53" s="37"/>
      <c r="G53" s="37"/>
      <c r="H53" s="37"/>
      <c r="I53" s="19"/>
      <c r="J53" s="37"/>
      <c r="K53" s="66">
        <f>IF('WTW Input'!H27&gt;0,1.25,0)</f>
        <v>0</v>
      </c>
      <c r="L53" s="19" t="s">
        <v>25</v>
      </c>
      <c r="M53" s="50">
        <f>IF('Input Data'!$F$31&lt;5,0,IF('Input Data'!$F$31=5,0.25,IF('Input Data'!$F$31=6,0.3)))</f>
        <v>0</v>
      </c>
      <c r="N53" s="39" t="s">
        <v>2</v>
      </c>
      <c r="O53" s="859">
        <f>IF('Input Data'!$F$31&gt;4,'WTW Input'!$H$27,0)</f>
        <v>0</v>
      </c>
      <c r="P53" s="858" t="s">
        <v>25</v>
      </c>
      <c r="Q53" s="868">
        <f>IF('WTW Input'!$H$27&gt;0,IF('Input Data'!$F$31&gt;4,$S$18,0),0)</f>
        <v>0</v>
      </c>
      <c r="R53" s="43"/>
      <c r="S53" s="840">
        <f>IF('WTW Input'!$H$27&gt;0,IF('Input Data'!$F$31&gt;4,(K53*M53*O53/O54*Q53),0),0)</f>
        <v>0</v>
      </c>
    </row>
    <row r="54" spans="1:19" x14ac:dyDescent="0.2">
      <c r="A54" s="1804"/>
      <c r="B54" s="1803"/>
      <c r="C54" s="1803"/>
      <c r="D54" s="51"/>
      <c r="E54" s="51"/>
      <c r="F54" s="51"/>
      <c r="G54" s="51"/>
      <c r="H54" s="51"/>
      <c r="I54" s="51"/>
      <c r="J54" s="51"/>
      <c r="K54" s="19"/>
      <c r="L54" s="19"/>
      <c r="M54" s="67"/>
      <c r="N54" s="65"/>
      <c r="O54" s="857">
        <f>IF('WTW Input'!$H$27&gt;0,'Input Data'!$H$48,0)</f>
        <v>0</v>
      </c>
      <c r="P54" s="861"/>
      <c r="Q54" s="860"/>
      <c r="R54" s="68"/>
      <c r="S54" s="822"/>
    </row>
    <row r="55" spans="1:19" ht="21" customHeight="1" x14ac:dyDescent="0.2">
      <c r="A55" s="410"/>
      <c r="B55" s="145" t="s">
        <v>230</v>
      </c>
      <c r="C55" s="391"/>
      <c r="D55" s="30"/>
      <c r="E55" s="412"/>
      <c r="F55" s="30"/>
      <c r="G55" s="149"/>
      <c r="H55" s="149"/>
      <c r="I55" s="149"/>
      <c r="J55" s="149"/>
      <c r="K55" s="150"/>
      <c r="L55" s="150"/>
      <c r="M55" s="151"/>
      <c r="N55" s="152"/>
      <c r="O55" s="153"/>
      <c r="P55" s="154"/>
      <c r="Q55" s="155"/>
      <c r="R55" s="155"/>
      <c r="S55" s="894">
        <f>IF('WTW Input'!H28=0,0,SUM(S50:S54))</f>
        <v>0</v>
      </c>
    </row>
    <row r="56" spans="1:19" ht="6" customHeight="1" thickBot="1" x14ac:dyDescent="0.25">
      <c r="A56" s="124"/>
      <c r="B56" s="12"/>
      <c r="C56" s="12"/>
      <c r="D56" s="85"/>
      <c r="E56" s="85"/>
      <c r="F56" s="85"/>
      <c r="G56" s="85"/>
      <c r="H56" s="85"/>
      <c r="I56" s="85"/>
      <c r="J56" s="85"/>
      <c r="K56" s="86"/>
      <c r="L56" s="86"/>
      <c r="M56" s="87"/>
      <c r="N56" s="12"/>
      <c r="O56" s="13"/>
      <c r="P56" s="80"/>
      <c r="Q56" s="13"/>
      <c r="R56" s="13"/>
      <c r="S56" s="841"/>
    </row>
    <row r="57" spans="1:19" ht="27.75" customHeight="1" thickTop="1" thickBot="1" x14ac:dyDescent="0.25">
      <c r="A57" s="413"/>
      <c r="B57" s="414"/>
      <c r="C57" s="414"/>
      <c r="D57" s="415" t="s">
        <v>140</v>
      </c>
      <c r="E57" s="416"/>
      <c r="F57" s="416"/>
      <c r="G57" s="417"/>
      <c r="H57" s="417"/>
      <c r="I57" s="417"/>
      <c r="J57" s="417"/>
      <c r="K57" s="417"/>
      <c r="L57" s="417"/>
      <c r="M57" s="417"/>
      <c r="N57" s="417"/>
      <c r="O57" s="417"/>
      <c r="P57" s="417"/>
      <c r="Q57" s="417"/>
      <c r="R57" s="417"/>
      <c r="S57" s="896">
        <f>S46+S55</f>
        <v>0</v>
      </c>
    </row>
    <row r="58"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2">
    <mergeCell ref="A35:D36"/>
    <mergeCell ref="A53:C54"/>
    <mergeCell ref="A38:D39"/>
    <mergeCell ref="A41:D42"/>
    <mergeCell ref="A44:D45"/>
    <mergeCell ref="A50:C51"/>
    <mergeCell ref="A46:Q46"/>
    <mergeCell ref="B8:R8"/>
    <mergeCell ref="E1:S1"/>
    <mergeCell ref="B6:D6"/>
    <mergeCell ref="K3:Q3"/>
    <mergeCell ref="I6:P6"/>
    <mergeCell ref="A32:D33"/>
    <mergeCell ref="A29:D30"/>
    <mergeCell ref="C12:H12"/>
    <mergeCell ref="O12:Q12"/>
    <mergeCell ref="C10:P10"/>
    <mergeCell ref="A23:C24"/>
    <mergeCell ref="N14:R14"/>
    <mergeCell ref="A26:D27"/>
    <mergeCell ref="N15:R15"/>
    <mergeCell ref="A14:L14"/>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heetViews>
  <sheetFormatPr defaultRowHeight="15" x14ac:dyDescent="0.2"/>
  <cols>
    <col min="1" max="2" width="9.21875" customWidth="1"/>
    <col min="3" max="3" width="11.77734375" customWidth="1"/>
    <col min="4" max="4" width="11.6640625" customWidth="1"/>
    <col min="5" max="5" width="10.77734375" customWidth="1"/>
    <col min="6" max="6" width="11.109375" customWidth="1"/>
    <col min="7" max="7" width="3.21875" customWidth="1"/>
    <col min="8" max="8" width="9.44140625" customWidth="1"/>
    <col min="9" max="9" width="11.6640625" customWidth="1"/>
    <col min="10" max="10" width="12.21875" customWidth="1"/>
    <col min="11" max="11" width="12" customWidth="1"/>
    <col min="12" max="12" width="9.33203125" customWidth="1"/>
    <col min="13" max="13" width="11.77734375" customWidth="1"/>
  </cols>
  <sheetData>
    <row r="1" spans="1:13" ht="21" customHeight="1" thickTop="1" x14ac:dyDescent="0.2">
      <c r="A1" s="1495" t="s">
        <v>641</v>
      </c>
      <c r="B1" s="343"/>
      <c r="C1" s="204"/>
      <c r="D1" s="204"/>
      <c r="E1" s="205" t="s">
        <v>218</v>
      </c>
      <c r="F1" s="204"/>
      <c r="G1" s="204"/>
      <c r="H1" s="204"/>
      <c r="I1" s="204"/>
      <c r="J1" s="204"/>
      <c r="K1" s="204"/>
      <c r="L1" s="204"/>
      <c r="M1" s="206"/>
    </row>
    <row r="2" spans="1:13" x14ac:dyDescent="0.2">
      <c r="A2" s="1831" t="s">
        <v>208</v>
      </c>
      <c r="B2" s="1832"/>
      <c r="C2" s="1832"/>
      <c r="D2" s="1480">
        <f>'Input Data'!$D$28</f>
        <v>0</v>
      </c>
      <c r="E2" s="207" t="s">
        <v>297</v>
      </c>
      <c r="F2" s="1756">
        <f>'Input Data'!$D$5</f>
        <v>0</v>
      </c>
      <c r="G2" s="1757"/>
      <c r="H2" s="1832" t="s">
        <v>113</v>
      </c>
      <c r="I2" s="1832"/>
      <c r="J2" s="1833"/>
      <c r="K2" s="221" t="str">
        <f>IF('Input Data'!D17="NONE","N","Y")</f>
        <v>Y</v>
      </c>
      <c r="L2" s="125"/>
      <c r="M2" s="131"/>
    </row>
    <row r="3" spans="1:13" ht="15.75" thickBot="1" x14ac:dyDescent="0.25">
      <c r="A3" s="209"/>
      <c r="B3" s="210"/>
      <c r="C3" s="125"/>
      <c r="D3" s="125"/>
      <c r="E3" s="125"/>
      <c r="F3" s="125"/>
      <c r="G3" s="125"/>
      <c r="H3" s="210"/>
      <c r="I3" s="210"/>
      <c r="J3" s="211"/>
      <c r="K3" s="125"/>
      <c r="L3" s="125"/>
      <c r="M3" s="212"/>
    </row>
    <row r="4" spans="1:13" ht="67.5" customHeight="1" thickTop="1" thickBot="1" x14ac:dyDescent="0.25">
      <c r="A4" s="213" t="s">
        <v>209</v>
      </c>
      <c r="B4" s="344" t="s">
        <v>8</v>
      </c>
      <c r="C4" s="778" t="s">
        <v>420</v>
      </c>
      <c r="D4" s="778" t="s">
        <v>421</v>
      </c>
      <c r="E4" s="214" t="s">
        <v>422</v>
      </c>
      <c r="F4" s="779" t="s">
        <v>423</v>
      </c>
      <c r="G4" s="46"/>
      <c r="H4" s="213" t="s">
        <v>209</v>
      </c>
      <c r="I4" s="344" t="s">
        <v>8</v>
      </c>
      <c r="J4" s="778" t="s">
        <v>420</v>
      </c>
      <c r="K4" s="778" t="s">
        <v>421</v>
      </c>
      <c r="L4" s="214" t="s">
        <v>422</v>
      </c>
      <c r="M4" s="779" t="s">
        <v>423</v>
      </c>
    </row>
    <row r="5" spans="1:13" ht="27" thickTop="1" thickBot="1" x14ac:dyDescent="0.25">
      <c r="A5" s="215" t="s">
        <v>210</v>
      </c>
      <c r="B5" s="347"/>
      <c r="C5" s="897">
        <v>0</v>
      </c>
      <c r="D5" s="898">
        <f>IF($K$2="Y",((C5-E5)/1.14),C5)</f>
        <v>0</v>
      </c>
      <c r="E5" s="897">
        <v>0</v>
      </c>
      <c r="F5" s="899">
        <f>SUM(D5:E5)</f>
        <v>0</v>
      </c>
      <c r="G5" s="30"/>
      <c r="H5" s="216" t="s">
        <v>211</v>
      </c>
      <c r="I5" s="346"/>
      <c r="J5" s="902">
        <f>C42</f>
        <v>0</v>
      </c>
      <c r="K5" s="903">
        <f>D42</f>
        <v>0</v>
      </c>
      <c r="L5" s="902">
        <f>E42</f>
        <v>0</v>
      </c>
      <c r="M5" s="904">
        <f>SUM(K5:L5)</f>
        <v>0</v>
      </c>
    </row>
    <row r="6" spans="1:13" x14ac:dyDescent="0.2">
      <c r="A6" s="217">
        <f t="shared" ref="A6:A41" si="0">A5+1</f>
        <v>2</v>
      </c>
      <c r="B6" s="348"/>
      <c r="C6" s="897">
        <v>0</v>
      </c>
      <c r="D6" s="898">
        <f t="shared" ref="D6:D41" si="1">IF($K$2="Y",((C6-E6)/1.14),C6)</f>
        <v>0</v>
      </c>
      <c r="E6" s="897">
        <v>0</v>
      </c>
      <c r="F6" s="899">
        <f t="shared" ref="F6:F41" si="2">SUM(D6:E6)</f>
        <v>0</v>
      </c>
      <c r="G6" s="30"/>
      <c r="H6" s="218" t="s">
        <v>212</v>
      </c>
      <c r="I6" s="347"/>
      <c r="J6" s="905">
        <v>0</v>
      </c>
      <c r="K6" s="898">
        <f t="shared" ref="K6:K41" si="3">IF($K$2="Y",((J6-L6)/1.14),J6)</f>
        <v>0</v>
      </c>
      <c r="L6" s="905">
        <v>0</v>
      </c>
      <c r="M6" s="906">
        <f t="shared" ref="M6:M41" si="4">SUM(K6:L6)</f>
        <v>0</v>
      </c>
    </row>
    <row r="7" spans="1:13" x14ac:dyDescent="0.2">
      <c r="A7" s="217">
        <f t="shared" si="0"/>
        <v>3</v>
      </c>
      <c r="B7" s="348"/>
      <c r="C7" s="897">
        <v>0</v>
      </c>
      <c r="D7" s="898">
        <f t="shared" si="1"/>
        <v>0</v>
      </c>
      <c r="E7" s="897">
        <v>0</v>
      </c>
      <c r="F7" s="899">
        <f t="shared" si="2"/>
        <v>0</v>
      </c>
      <c r="G7" s="30"/>
      <c r="H7" s="217">
        <f t="shared" ref="H7:H41" si="5">H6+1</f>
        <v>39</v>
      </c>
      <c r="I7" s="348"/>
      <c r="J7" s="897">
        <v>0</v>
      </c>
      <c r="K7" s="898">
        <f t="shared" si="3"/>
        <v>0</v>
      </c>
      <c r="L7" s="897">
        <v>0</v>
      </c>
      <c r="M7" s="899">
        <f t="shared" si="4"/>
        <v>0</v>
      </c>
    </row>
    <row r="8" spans="1:13" x14ac:dyDescent="0.2">
      <c r="A8" s="217">
        <f t="shared" si="0"/>
        <v>4</v>
      </c>
      <c r="B8" s="348"/>
      <c r="C8" s="897">
        <v>0</v>
      </c>
      <c r="D8" s="898">
        <f t="shared" si="1"/>
        <v>0</v>
      </c>
      <c r="E8" s="897">
        <v>0</v>
      </c>
      <c r="F8" s="899">
        <f t="shared" si="2"/>
        <v>0</v>
      </c>
      <c r="G8" s="30"/>
      <c r="H8" s="217">
        <f t="shared" si="5"/>
        <v>40</v>
      </c>
      <c r="I8" s="348"/>
      <c r="J8" s="897">
        <v>0</v>
      </c>
      <c r="K8" s="898">
        <f t="shared" si="3"/>
        <v>0</v>
      </c>
      <c r="L8" s="897">
        <v>0</v>
      </c>
      <c r="M8" s="899">
        <f t="shared" si="4"/>
        <v>0</v>
      </c>
    </row>
    <row r="9" spans="1:13" x14ac:dyDescent="0.2">
      <c r="A9" s="217">
        <f t="shared" si="0"/>
        <v>5</v>
      </c>
      <c r="B9" s="348"/>
      <c r="C9" s="897">
        <v>0</v>
      </c>
      <c r="D9" s="898">
        <f t="shared" si="1"/>
        <v>0</v>
      </c>
      <c r="E9" s="897">
        <v>0</v>
      </c>
      <c r="F9" s="899">
        <f t="shared" si="2"/>
        <v>0</v>
      </c>
      <c r="G9" s="30"/>
      <c r="H9" s="217">
        <f t="shared" si="5"/>
        <v>41</v>
      </c>
      <c r="I9" s="348"/>
      <c r="J9" s="897">
        <v>0</v>
      </c>
      <c r="K9" s="898">
        <f t="shared" si="3"/>
        <v>0</v>
      </c>
      <c r="L9" s="897">
        <v>0</v>
      </c>
      <c r="M9" s="899">
        <f t="shared" si="4"/>
        <v>0</v>
      </c>
    </row>
    <row r="10" spans="1:13" x14ac:dyDescent="0.2">
      <c r="A10" s="217">
        <f t="shared" si="0"/>
        <v>6</v>
      </c>
      <c r="B10" s="348"/>
      <c r="C10" s="897">
        <v>0</v>
      </c>
      <c r="D10" s="898">
        <f t="shared" si="1"/>
        <v>0</v>
      </c>
      <c r="E10" s="897">
        <v>0</v>
      </c>
      <c r="F10" s="899">
        <f t="shared" si="2"/>
        <v>0</v>
      </c>
      <c r="G10" s="30"/>
      <c r="H10" s="217">
        <f t="shared" si="5"/>
        <v>42</v>
      </c>
      <c r="I10" s="348"/>
      <c r="J10" s="897">
        <v>0</v>
      </c>
      <c r="K10" s="898">
        <f t="shared" si="3"/>
        <v>0</v>
      </c>
      <c r="L10" s="897">
        <v>0</v>
      </c>
      <c r="M10" s="899">
        <f t="shared" si="4"/>
        <v>0</v>
      </c>
    </row>
    <row r="11" spans="1:13" x14ac:dyDescent="0.2">
      <c r="A11" s="217">
        <f t="shared" si="0"/>
        <v>7</v>
      </c>
      <c r="B11" s="348"/>
      <c r="C11" s="897">
        <v>0</v>
      </c>
      <c r="D11" s="898">
        <f t="shared" si="1"/>
        <v>0</v>
      </c>
      <c r="E11" s="897">
        <v>0</v>
      </c>
      <c r="F11" s="899">
        <f t="shared" si="2"/>
        <v>0</v>
      </c>
      <c r="G11" s="30"/>
      <c r="H11" s="217">
        <f t="shared" si="5"/>
        <v>43</v>
      </c>
      <c r="I11" s="348"/>
      <c r="J11" s="897">
        <v>0</v>
      </c>
      <c r="K11" s="898">
        <f t="shared" si="3"/>
        <v>0</v>
      </c>
      <c r="L11" s="897">
        <v>0</v>
      </c>
      <c r="M11" s="899">
        <f t="shared" si="4"/>
        <v>0</v>
      </c>
    </row>
    <row r="12" spans="1:13" x14ac:dyDescent="0.2">
      <c r="A12" s="217">
        <f t="shared" si="0"/>
        <v>8</v>
      </c>
      <c r="B12" s="348"/>
      <c r="C12" s="897">
        <v>0</v>
      </c>
      <c r="D12" s="898">
        <f t="shared" si="1"/>
        <v>0</v>
      </c>
      <c r="E12" s="897">
        <v>0</v>
      </c>
      <c r="F12" s="899">
        <f t="shared" si="2"/>
        <v>0</v>
      </c>
      <c r="G12" s="30"/>
      <c r="H12" s="217">
        <f t="shared" si="5"/>
        <v>44</v>
      </c>
      <c r="I12" s="348"/>
      <c r="J12" s="897">
        <v>0</v>
      </c>
      <c r="K12" s="898">
        <f t="shared" si="3"/>
        <v>0</v>
      </c>
      <c r="L12" s="897">
        <v>0</v>
      </c>
      <c r="M12" s="899">
        <f t="shared" si="4"/>
        <v>0</v>
      </c>
    </row>
    <row r="13" spans="1:13" x14ac:dyDescent="0.2">
      <c r="A13" s="217">
        <f t="shared" si="0"/>
        <v>9</v>
      </c>
      <c r="B13" s="348"/>
      <c r="C13" s="897">
        <v>0</v>
      </c>
      <c r="D13" s="898">
        <f t="shared" si="1"/>
        <v>0</v>
      </c>
      <c r="E13" s="897">
        <v>0</v>
      </c>
      <c r="F13" s="899">
        <f t="shared" si="2"/>
        <v>0</v>
      </c>
      <c r="G13" s="30"/>
      <c r="H13" s="217">
        <f t="shared" si="5"/>
        <v>45</v>
      </c>
      <c r="I13" s="348"/>
      <c r="J13" s="897">
        <v>0</v>
      </c>
      <c r="K13" s="898">
        <f t="shared" si="3"/>
        <v>0</v>
      </c>
      <c r="L13" s="897">
        <v>0</v>
      </c>
      <c r="M13" s="899">
        <f t="shared" si="4"/>
        <v>0</v>
      </c>
    </row>
    <row r="14" spans="1:13" x14ac:dyDescent="0.2">
      <c r="A14" s="217">
        <f t="shared" si="0"/>
        <v>10</v>
      </c>
      <c r="B14" s="348"/>
      <c r="C14" s="897">
        <v>0</v>
      </c>
      <c r="D14" s="898">
        <f t="shared" si="1"/>
        <v>0</v>
      </c>
      <c r="E14" s="897">
        <v>0</v>
      </c>
      <c r="F14" s="899">
        <f t="shared" si="2"/>
        <v>0</v>
      </c>
      <c r="G14" s="30"/>
      <c r="H14" s="217">
        <f t="shared" si="5"/>
        <v>46</v>
      </c>
      <c r="I14" s="348"/>
      <c r="J14" s="897">
        <v>0</v>
      </c>
      <c r="K14" s="898">
        <f t="shared" si="3"/>
        <v>0</v>
      </c>
      <c r="L14" s="897">
        <v>0</v>
      </c>
      <c r="M14" s="899">
        <f t="shared" si="4"/>
        <v>0</v>
      </c>
    </row>
    <row r="15" spans="1:13" x14ac:dyDescent="0.2">
      <c r="A15" s="217">
        <f t="shared" si="0"/>
        <v>11</v>
      </c>
      <c r="B15" s="348"/>
      <c r="C15" s="897">
        <v>0</v>
      </c>
      <c r="D15" s="898">
        <f t="shared" si="1"/>
        <v>0</v>
      </c>
      <c r="E15" s="897">
        <v>0</v>
      </c>
      <c r="F15" s="899">
        <f t="shared" si="2"/>
        <v>0</v>
      </c>
      <c r="G15" s="30"/>
      <c r="H15" s="217">
        <f t="shared" si="5"/>
        <v>47</v>
      </c>
      <c r="I15" s="348"/>
      <c r="J15" s="897">
        <v>0</v>
      </c>
      <c r="K15" s="898">
        <f t="shared" si="3"/>
        <v>0</v>
      </c>
      <c r="L15" s="897">
        <v>0</v>
      </c>
      <c r="M15" s="899">
        <f t="shared" si="4"/>
        <v>0</v>
      </c>
    </row>
    <row r="16" spans="1:13" x14ac:dyDescent="0.2">
      <c r="A16" s="217">
        <f t="shared" si="0"/>
        <v>12</v>
      </c>
      <c r="B16" s="348"/>
      <c r="C16" s="897">
        <v>0</v>
      </c>
      <c r="D16" s="898">
        <f t="shared" si="1"/>
        <v>0</v>
      </c>
      <c r="E16" s="897">
        <v>0</v>
      </c>
      <c r="F16" s="899">
        <f t="shared" si="2"/>
        <v>0</v>
      </c>
      <c r="G16" s="30"/>
      <c r="H16" s="217">
        <f t="shared" si="5"/>
        <v>48</v>
      </c>
      <c r="I16" s="348"/>
      <c r="J16" s="897">
        <v>0</v>
      </c>
      <c r="K16" s="898">
        <f t="shared" si="3"/>
        <v>0</v>
      </c>
      <c r="L16" s="897">
        <v>0</v>
      </c>
      <c r="M16" s="899">
        <f t="shared" si="4"/>
        <v>0</v>
      </c>
    </row>
    <row r="17" spans="1:13" x14ac:dyDescent="0.2">
      <c r="A17" s="217">
        <f t="shared" si="0"/>
        <v>13</v>
      </c>
      <c r="B17" s="348"/>
      <c r="C17" s="897">
        <v>0</v>
      </c>
      <c r="D17" s="898">
        <f t="shared" si="1"/>
        <v>0</v>
      </c>
      <c r="E17" s="897">
        <v>0</v>
      </c>
      <c r="F17" s="899">
        <f t="shared" si="2"/>
        <v>0</v>
      </c>
      <c r="G17" s="30"/>
      <c r="H17" s="217">
        <f t="shared" si="5"/>
        <v>49</v>
      </c>
      <c r="I17" s="348"/>
      <c r="J17" s="897">
        <v>0</v>
      </c>
      <c r="K17" s="898">
        <f t="shared" si="3"/>
        <v>0</v>
      </c>
      <c r="L17" s="897">
        <v>0</v>
      </c>
      <c r="M17" s="899">
        <f t="shared" si="4"/>
        <v>0</v>
      </c>
    </row>
    <row r="18" spans="1:13" x14ac:dyDescent="0.2">
      <c r="A18" s="217">
        <f t="shared" si="0"/>
        <v>14</v>
      </c>
      <c r="B18" s="348"/>
      <c r="C18" s="897">
        <v>0</v>
      </c>
      <c r="D18" s="898">
        <f t="shared" si="1"/>
        <v>0</v>
      </c>
      <c r="E18" s="897">
        <v>0</v>
      </c>
      <c r="F18" s="899">
        <f t="shared" si="2"/>
        <v>0</v>
      </c>
      <c r="G18" s="30"/>
      <c r="H18" s="217">
        <f t="shared" si="5"/>
        <v>50</v>
      </c>
      <c r="I18" s="348"/>
      <c r="J18" s="897">
        <v>0</v>
      </c>
      <c r="K18" s="898">
        <f t="shared" si="3"/>
        <v>0</v>
      </c>
      <c r="L18" s="897">
        <v>0</v>
      </c>
      <c r="M18" s="899">
        <f t="shared" si="4"/>
        <v>0</v>
      </c>
    </row>
    <row r="19" spans="1:13" x14ac:dyDescent="0.2">
      <c r="A19" s="217">
        <f t="shared" si="0"/>
        <v>15</v>
      </c>
      <c r="B19" s="348"/>
      <c r="C19" s="897">
        <v>0</v>
      </c>
      <c r="D19" s="898">
        <f t="shared" si="1"/>
        <v>0</v>
      </c>
      <c r="E19" s="897">
        <v>0</v>
      </c>
      <c r="F19" s="899">
        <f t="shared" si="2"/>
        <v>0</v>
      </c>
      <c r="G19" s="30"/>
      <c r="H19" s="217">
        <f t="shared" si="5"/>
        <v>51</v>
      </c>
      <c r="I19" s="348"/>
      <c r="J19" s="897">
        <v>0</v>
      </c>
      <c r="K19" s="898">
        <f t="shared" si="3"/>
        <v>0</v>
      </c>
      <c r="L19" s="897">
        <v>0</v>
      </c>
      <c r="M19" s="899">
        <f t="shared" si="4"/>
        <v>0</v>
      </c>
    </row>
    <row r="20" spans="1:13" x14ac:dyDescent="0.2">
      <c r="A20" s="217">
        <f t="shared" si="0"/>
        <v>16</v>
      </c>
      <c r="B20" s="348"/>
      <c r="C20" s="897">
        <v>0</v>
      </c>
      <c r="D20" s="898">
        <f t="shared" si="1"/>
        <v>0</v>
      </c>
      <c r="E20" s="897">
        <v>0</v>
      </c>
      <c r="F20" s="899">
        <f t="shared" si="2"/>
        <v>0</v>
      </c>
      <c r="G20" s="30"/>
      <c r="H20" s="217">
        <f t="shared" si="5"/>
        <v>52</v>
      </c>
      <c r="I20" s="348"/>
      <c r="J20" s="897">
        <v>0</v>
      </c>
      <c r="K20" s="898">
        <f t="shared" si="3"/>
        <v>0</v>
      </c>
      <c r="L20" s="897">
        <v>0</v>
      </c>
      <c r="M20" s="899">
        <f t="shared" si="4"/>
        <v>0</v>
      </c>
    </row>
    <row r="21" spans="1:13" x14ac:dyDescent="0.2">
      <c r="A21" s="217">
        <f t="shared" si="0"/>
        <v>17</v>
      </c>
      <c r="B21" s="348"/>
      <c r="C21" s="897">
        <v>0</v>
      </c>
      <c r="D21" s="898">
        <f t="shared" si="1"/>
        <v>0</v>
      </c>
      <c r="E21" s="897">
        <v>0</v>
      </c>
      <c r="F21" s="899">
        <f t="shared" si="2"/>
        <v>0</v>
      </c>
      <c r="G21" s="219"/>
      <c r="H21" s="217">
        <f t="shared" si="5"/>
        <v>53</v>
      </c>
      <c r="I21" s="348"/>
      <c r="J21" s="897">
        <v>0</v>
      </c>
      <c r="K21" s="898">
        <f t="shared" si="3"/>
        <v>0</v>
      </c>
      <c r="L21" s="897">
        <v>0</v>
      </c>
      <c r="M21" s="899">
        <f t="shared" si="4"/>
        <v>0</v>
      </c>
    </row>
    <row r="22" spans="1:13" x14ac:dyDescent="0.2">
      <c r="A22" s="217">
        <f t="shared" si="0"/>
        <v>18</v>
      </c>
      <c r="B22" s="348"/>
      <c r="C22" s="897">
        <v>0</v>
      </c>
      <c r="D22" s="898">
        <f t="shared" si="1"/>
        <v>0</v>
      </c>
      <c r="E22" s="897">
        <v>0</v>
      </c>
      <c r="F22" s="899">
        <f t="shared" si="2"/>
        <v>0</v>
      </c>
      <c r="G22" s="219"/>
      <c r="H22" s="217">
        <f t="shared" si="5"/>
        <v>54</v>
      </c>
      <c r="I22" s="348"/>
      <c r="J22" s="897">
        <v>0</v>
      </c>
      <c r="K22" s="898">
        <f t="shared" si="3"/>
        <v>0</v>
      </c>
      <c r="L22" s="897">
        <v>0</v>
      </c>
      <c r="M22" s="899">
        <f t="shared" si="4"/>
        <v>0</v>
      </c>
    </row>
    <row r="23" spans="1:13" x14ac:dyDescent="0.2">
      <c r="A23" s="217">
        <f t="shared" si="0"/>
        <v>19</v>
      </c>
      <c r="B23" s="348"/>
      <c r="C23" s="897">
        <v>0</v>
      </c>
      <c r="D23" s="898">
        <f t="shared" si="1"/>
        <v>0</v>
      </c>
      <c r="E23" s="897">
        <v>0</v>
      </c>
      <c r="F23" s="899">
        <f t="shared" si="2"/>
        <v>0</v>
      </c>
      <c r="G23" s="219"/>
      <c r="H23" s="217">
        <f t="shared" si="5"/>
        <v>55</v>
      </c>
      <c r="I23" s="348"/>
      <c r="J23" s="897">
        <v>0</v>
      </c>
      <c r="K23" s="898">
        <f t="shared" si="3"/>
        <v>0</v>
      </c>
      <c r="L23" s="897">
        <v>0</v>
      </c>
      <c r="M23" s="899">
        <f t="shared" si="4"/>
        <v>0</v>
      </c>
    </row>
    <row r="24" spans="1:13" x14ac:dyDescent="0.2">
      <c r="A24" s="217">
        <f t="shared" si="0"/>
        <v>20</v>
      </c>
      <c r="B24" s="348"/>
      <c r="C24" s="897">
        <v>0</v>
      </c>
      <c r="D24" s="898">
        <f t="shared" si="1"/>
        <v>0</v>
      </c>
      <c r="E24" s="897">
        <v>0</v>
      </c>
      <c r="F24" s="899">
        <f t="shared" si="2"/>
        <v>0</v>
      </c>
      <c r="G24" s="30"/>
      <c r="H24" s="217">
        <f t="shared" si="5"/>
        <v>56</v>
      </c>
      <c r="I24" s="348"/>
      <c r="J24" s="897">
        <v>0</v>
      </c>
      <c r="K24" s="898">
        <f t="shared" si="3"/>
        <v>0</v>
      </c>
      <c r="L24" s="897">
        <v>0</v>
      </c>
      <c r="M24" s="899">
        <f t="shared" si="4"/>
        <v>0</v>
      </c>
    </row>
    <row r="25" spans="1:13" x14ac:dyDescent="0.2">
      <c r="A25" s="217">
        <f t="shared" si="0"/>
        <v>21</v>
      </c>
      <c r="B25" s="348"/>
      <c r="C25" s="897">
        <v>0</v>
      </c>
      <c r="D25" s="898">
        <f t="shared" si="1"/>
        <v>0</v>
      </c>
      <c r="E25" s="897">
        <v>0</v>
      </c>
      <c r="F25" s="899">
        <f t="shared" si="2"/>
        <v>0</v>
      </c>
      <c r="G25" s="30"/>
      <c r="H25" s="217">
        <f t="shared" si="5"/>
        <v>57</v>
      </c>
      <c r="I25" s="348"/>
      <c r="J25" s="897">
        <v>0</v>
      </c>
      <c r="K25" s="898">
        <f t="shared" si="3"/>
        <v>0</v>
      </c>
      <c r="L25" s="897">
        <v>0</v>
      </c>
      <c r="M25" s="899">
        <f t="shared" si="4"/>
        <v>0</v>
      </c>
    </row>
    <row r="26" spans="1:13" x14ac:dyDescent="0.2">
      <c r="A26" s="217">
        <f t="shared" si="0"/>
        <v>22</v>
      </c>
      <c r="B26" s="348"/>
      <c r="C26" s="897">
        <v>0</v>
      </c>
      <c r="D26" s="898">
        <f t="shared" si="1"/>
        <v>0</v>
      </c>
      <c r="E26" s="897">
        <v>0</v>
      </c>
      <c r="F26" s="899">
        <f t="shared" si="2"/>
        <v>0</v>
      </c>
      <c r="G26" s="30"/>
      <c r="H26" s="217">
        <f t="shared" si="5"/>
        <v>58</v>
      </c>
      <c r="I26" s="348"/>
      <c r="J26" s="897">
        <v>0</v>
      </c>
      <c r="K26" s="898">
        <f t="shared" si="3"/>
        <v>0</v>
      </c>
      <c r="L26" s="897">
        <v>0</v>
      </c>
      <c r="M26" s="899">
        <f t="shared" si="4"/>
        <v>0</v>
      </c>
    </row>
    <row r="27" spans="1:13" x14ac:dyDescent="0.2">
      <c r="A27" s="217">
        <f t="shared" si="0"/>
        <v>23</v>
      </c>
      <c r="B27" s="348"/>
      <c r="C27" s="897">
        <v>0</v>
      </c>
      <c r="D27" s="898">
        <f t="shared" si="1"/>
        <v>0</v>
      </c>
      <c r="E27" s="897">
        <v>0</v>
      </c>
      <c r="F27" s="899">
        <f t="shared" si="2"/>
        <v>0</v>
      </c>
      <c r="G27" s="30"/>
      <c r="H27" s="217">
        <f t="shared" si="5"/>
        <v>59</v>
      </c>
      <c r="I27" s="348"/>
      <c r="J27" s="897">
        <v>0</v>
      </c>
      <c r="K27" s="898">
        <f t="shared" si="3"/>
        <v>0</v>
      </c>
      <c r="L27" s="897">
        <v>0</v>
      </c>
      <c r="M27" s="899">
        <f t="shared" si="4"/>
        <v>0</v>
      </c>
    </row>
    <row r="28" spans="1:13" x14ac:dyDescent="0.2">
      <c r="A28" s="217">
        <f t="shared" si="0"/>
        <v>24</v>
      </c>
      <c r="B28" s="348"/>
      <c r="C28" s="897">
        <v>0</v>
      </c>
      <c r="D28" s="898">
        <f t="shared" si="1"/>
        <v>0</v>
      </c>
      <c r="E28" s="897">
        <v>0</v>
      </c>
      <c r="F28" s="899">
        <f t="shared" si="2"/>
        <v>0</v>
      </c>
      <c r="G28" s="30"/>
      <c r="H28" s="217">
        <f t="shared" si="5"/>
        <v>60</v>
      </c>
      <c r="I28" s="348"/>
      <c r="J28" s="897">
        <v>0</v>
      </c>
      <c r="K28" s="898">
        <f t="shared" si="3"/>
        <v>0</v>
      </c>
      <c r="L28" s="897">
        <v>0</v>
      </c>
      <c r="M28" s="899">
        <f t="shared" si="4"/>
        <v>0</v>
      </c>
    </row>
    <row r="29" spans="1:13" x14ac:dyDescent="0.2">
      <c r="A29" s="217">
        <f t="shared" si="0"/>
        <v>25</v>
      </c>
      <c r="B29" s="348"/>
      <c r="C29" s="897">
        <v>0</v>
      </c>
      <c r="D29" s="898">
        <f t="shared" si="1"/>
        <v>0</v>
      </c>
      <c r="E29" s="897">
        <v>0</v>
      </c>
      <c r="F29" s="899">
        <f t="shared" si="2"/>
        <v>0</v>
      </c>
      <c r="G29" s="30"/>
      <c r="H29" s="217">
        <f t="shared" si="5"/>
        <v>61</v>
      </c>
      <c r="I29" s="348"/>
      <c r="J29" s="897">
        <v>0</v>
      </c>
      <c r="K29" s="898">
        <f t="shared" si="3"/>
        <v>0</v>
      </c>
      <c r="L29" s="897">
        <v>0</v>
      </c>
      <c r="M29" s="899">
        <f t="shared" si="4"/>
        <v>0</v>
      </c>
    </row>
    <row r="30" spans="1:13" x14ac:dyDescent="0.2">
      <c r="A30" s="217">
        <f t="shared" si="0"/>
        <v>26</v>
      </c>
      <c r="B30" s="348"/>
      <c r="C30" s="897">
        <v>0</v>
      </c>
      <c r="D30" s="898">
        <f t="shared" si="1"/>
        <v>0</v>
      </c>
      <c r="E30" s="897">
        <v>0</v>
      </c>
      <c r="F30" s="899">
        <f t="shared" si="2"/>
        <v>0</v>
      </c>
      <c r="G30" s="30"/>
      <c r="H30" s="217">
        <f t="shared" si="5"/>
        <v>62</v>
      </c>
      <c r="I30" s="348"/>
      <c r="J30" s="897">
        <v>0</v>
      </c>
      <c r="K30" s="898">
        <f t="shared" si="3"/>
        <v>0</v>
      </c>
      <c r="L30" s="897">
        <v>0</v>
      </c>
      <c r="M30" s="899">
        <f t="shared" si="4"/>
        <v>0</v>
      </c>
    </row>
    <row r="31" spans="1:13" x14ac:dyDescent="0.2">
      <c r="A31" s="217">
        <f t="shared" si="0"/>
        <v>27</v>
      </c>
      <c r="B31" s="348"/>
      <c r="C31" s="897">
        <v>0</v>
      </c>
      <c r="D31" s="898">
        <f t="shared" si="1"/>
        <v>0</v>
      </c>
      <c r="E31" s="897">
        <v>0</v>
      </c>
      <c r="F31" s="899">
        <f t="shared" si="2"/>
        <v>0</v>
      </c>
      <c r="G31" s="30"/>
      <c r="H31" s="217">
        <f t="shared" si="5"/>
        <v>63</v>
      </c>
      <c r="I31" s="348"/>
      <c r="J31" s="897">
        <v>0</v>
      </c>
      <c r="K31" s="898">
        <f t="shared" si="3"/>
        <v>0</v>
      </c>
      <c r="L31" s="897">
        <v>0</v>
      </c>
      <c r="M31" s="899">
        <f t="shared" si="4"/>
        <v>0</v>
      </c>
    </row>
    <row r="32" spans="1:13" x14ac:dyDescent="0.2">
      <c r="A32" s="217">
        <f t="shared" si="0"/>
        <v>28</v>
      </c>
      <c r="B32" s="348"/>
      <c r="C32" s="897">
        <v>0</v>
      </c>
      <c r="D32" s="898">
        <f t="shared" si="1"/>
        <v>0</v>
      </c>
      <c r="E32" s="897">
        <v>0</v>
      </c>
      <c r="F32" s="899">
        <f t="shared" si="2"/>
        <v>0</v>
      </c>
      <c r="G32" s="30"/>
      <c r="H32" s="217">
        <f t="shared" si="5"/>
        <v>64</v>
      </c>
      <c r="I32" s="348"/>
      <c r="J32" s="897">
        <v>0</v>
      </c>
      <c r="K32" s="898">
        <f t="shared" si="3"/>
        <v>0</v>
      </c>
      <c r="L32" s="897">
        <v>0</v>
      </c>
      <c r="M32" s="899">
        <f t="shared" si="4"/>
        <v>0</v>
      </c>
    </row>
    <row r="33" spans="1:13" x14ac:dyDescent="0.2">
      <c r="A33" s="217">
        <f t="shared" si="0"/>
        <v>29</v>
      </c>
      <c r="B33" s="348"/>
      <c r="C33" s="897">
        <v>0</v>
      </c>
      <c r="D33" s="898">
        <f t="shared" si="1"/>
        <v>0</v>
      </c>
      <c r="E33" s="897">
        <v>0</v>
      </c>
      <c r="F33" s="899">
        <f t="shared" si="2"/>
        <v>0</v>
      </c>
      <c r="G33" s="30"/>
      <c r="H33" s="217">
        <f t="shared" si="5"/>
        <v>65</v>
      </c>
      <c r="I33" s="348"/>
      <c r="J33" s="897">
        <v>0</v>
      </c>
      <c r="K33" s="898">
        <f t="shared" si="3"/>
        <v>0</v>
      </c>
      <c r="L33" s="897">
        <v>0</v>
      </c>
      <c r="M33" s="899">
        <f t="shared" si="4"/>
        <v>0</v>
      </c>
    </row>
    <row r="34" spans="1:13" x14ac:dyDescent="0.2">
      <c r="A34" s="217">
        <f t="shared" si="0"/>
        <v>30</v>
      </c>
      <c r="B34" s="348"/>
      <c r="C34" s="897">
        <v>0</v>
      </c>
      <c r="D34" s="898">
        <f t="shared" si="1"/>
        <v>0</v>
      </c>
      <c r="E34" s="897">
        <v>0</v>
      </c>
      <c r="F34" s="899">
        <f t="shared" si="2"/>
        <v>0</v>
      </c>
      <c r="G34" s="30"/>
      <c r="H34" s="217">
        <f t="shared" si="5"/>
        <v>66</v>
      </c>
      <c r="I34" s="348"/>
      <c r="J34" s="897">
        <v>0</v>
      </c>
      <c r="K34" s="898">
        <f t="shared" si="3"/>
        <v>0</v>
      </c>
      <c r="L34" s="897">
        <v>0</v>
      </c>
      <c r="M34" s="899">
        <f t="shared" si="4"/>
        <v>0</v>
      </c>
    </row>
    <row r="35" spans="1:13" x14ac:dyDescent="0.2">
      <c r="A35" s="217">
        <f t="shared" si="0"/>
        <v>31</v>
      </c>
      <c r="B35" s="348"/>
      <c r="C35" s="897">
        <v>0</v>
      </c>
      <c r="D35" s="898">
        <f t="shared" si="1"/>
        <v>0</v>
      </c>
      <c r="E35" s="897">
        <v>0</v>
      </c>
      <c r="F35" s="899">
        <f t="shared" si="2"/>
        <v>0</v>
      </c>
      <c r="G35" s="30"/>
      <c r="H35" s="217">
        <f t="shared" si="5"/>
        <v>67</v>
      </c>
      <c r="I35" s="348"/>
      <c r="J35" s="897">
        <v>0</v>
      </c>
      <c r="K35" s="898">
        <f t="shared" si="3"/>
        <v>0</v>
      </c>
      <c r="L35" s="897">
        <v>0</v>
      </c>
      <c r="M35" s="899">
        <f t="shared" si="4"/>
        <v>0</v>
      </c>
    </row>
    <row r="36" spans="1:13" x14ac:dyDescent="0.2">
      <c r="A36" s="217">
        <f t="shared" si="0"/>
        <v>32</v>
      </c>
      <c r="B36" s="348"/>
      <c r="C36" s="897">
        <v>0</v>
      </c>
      <c r="D36" s="898">
        <f t="shared" si="1"/>
        <v>0</v>
      </c>
      <c r="E36" s="897">
        <v>0</v>
      </c>
      <c r="F36" s="899">
        <f t="shared" si="2"/>
        <v>0</v>
      </c>
      <c r="G36" s="30"/>
      <c r="H36" s="217">
        <f t="shared" si="5"/>
        <v>68</v>
      </c>
      <c r="I36" s="348"/>
      <c r="J36" s="897">
        <v>0</v>
      </c>
      <c r="K36" s="898">
        <f t="shared" si="3"/>
        <v>0</v>
      </c>
      <c r="L36" s="897">
        <v>0</v>
      </c>
      <c r="M36" s="899">
        <f t="shared" si="4"/>
        <v>0</v>
      </c>
    </row>
    <row r="37" spans="1:13" x14ac:dyDescent="0.2">
      <c r="A37" s="217">
        <f t="shared" si="0"/>
        <v>33</v>
      </c>
      <c r="B37" s="348"/>
      <c r="C37" s="897">
        <v>0</v>
      </c>
      <c r="D37" s="898">
        <f t="shared" si="1"/>
        <v>0</v>
      </c>
      <c r="E37" s="897">
        <v>0</v>
      </c>
      <c r="F37" s="899">
        <f t="shared" si="2"/>
        <v>0</v>
      </c>
      <c r="G37" s="30"/>
      <c r="H37" s="217">
        <f t="shared" si="5"/>
        <v>69</v>
      </c>
      <c r="I37" s="348"/>
      <c r="J37" s="897">
        <v>0</v>
      </c>
      <c r="K37" s="898">
        <f t="shared" si="3"/>
        <v>0</v>
      </c>
      <c r="L37" s="897">
        <v>0</v>
      </c>
      <c r="M37" s="899">
        <f t="shared" si="4"/>
        <v>0</v>
      </c>
    </row>
    <row r="38" spans="1:13" x14ac:dyDescent="0.2">
      <c r="A38" s="217">
        <f t="shared" si="0"/>
        <v>34</v>
      </c>
      <c r="B38" s="348"/>
      <c r="C38" s="897">
        <v>0</v>
      </c>
      <c r="D38" s="898">
        <f t="shared" si="1"/>
        <v>0</v>
      </c>
      <c r="E38" s="897">
        <v>0</v>
      </c>
      <c r="F38" s="899">
        <f t="shared" si="2"/>
        <v>0</v>
      </c>
      <c r="G38" s="30"/>
      <c r="H38" s="217">
        <f t="shared" si="5"/>
        <v>70</v>
      </c>
      <c r="I38" s="348"/>
      <c r="J38" s="897">
        <v>0</v>
      </c>
      <c r="K38" s="898">
        <f t="shared" si="3"/>
        <v>0</v>
      </c>
      <c r="L38" s="897">
        <v>0</v>
      </c>
      <c r="M38" s="899">
        <f t="shared" si="4"/>
        <v>0</v>
      </c>
    </row>
    <row r="39" spans="1:13" x14ac:dyDescent="0.2">
      <c r="A39" s="217">
        <f t="shared" si="0"/>
        <v>35</v>
      </c>
      <c r="B39" s="348"/>
      <c r="C39" s="897">
        <v>0</v>
      </c>
      <c r="D39" s="898">
        <f t="shared" si="1"/>
        <v>0</v>
      </c>
      <c r="E39" s="897">
        <v>0</v>
      </c>
      <c r="F39" s="899">
        <f t="shared" si="2"/>
        <v>0</v>
      </c>
      <c r="G39" s="30"/>
      <c r="H39" s="217">
        <f t="shared" si="5"/>
        <v>71</v>
      </c>
      <c r="I39" s="348"/>
      <c r="J39" s="897">
        <v>0</v>
      </c>
      <c r="K39" s="898">
        <f t="shared" si="3"/>
        <v>0</v>
      </c>
      <c r="L39" s="897">
        <v>0</v>
      </c>
      <c r="M39" s="899">
        <f t="shared" si="4"/>
        <v>0</v>
      </c>
    </row>
    <row r="40" spans="1:13" x14ac:dyDescent="0.2">
      <c r="A40" s="217">
        <f t="shared" si="0"/>
        <v>36</v>
      </c>
      <c r="B40" s="348"/>
      <c r="C40" s="897">
        <v>0</v>
      </c>
      <c r="D40" s="898">
        <f t="shared" si="1"/>
        <v>0</v>
      </c>
      <c r="E40" s="897">
        <v>0</v>
      </c>
      <c r="F40" s="899">
        <f t="shared" si="2"/>
        <v>0</v>
      </c>
      <c r="G40" s="30"/>
      <c r="H40" s="217">
        <f t="shared" si="5"/>
        <v>72</v>
      </c>
      <c r="I40" s="348"/>
      <c r="J40" s="897">
        <v>0</v>
      </c>
      <c r="K40" s="898">
        <f t="shared" si="3"/>
        <v>0</v>
      </c>
      <c r="L40" s="897">
        <v>0</v>
      </c>
      <c r="M40" s="899">
        <f t="shared" si="4"/>
        <v>0</v>
      </c>
    </row>
    <row r="41" spans="1:13" ht="15.75" thickBot="1" x14ac:dyDescent="0.25">
      <c r="A41" s="217">
        <f t="shared" si="0"/>
        <v>37</v>
      </c>
      <c r="B41" s="348"/>
      <c r="C41" s="897">
        <v>0</v>
      </c>
      <c r="D41" s="898">
        <f t="shared" si="1"/>
        <v>0</v>
      </c>
      <c r="E41" s="897">
        <v>0</v>
      </c>
      <c r="F41" s="899">
        <f t="shared" si="2"/>
        <v>0</v>
      </c>
      <c r="G41" s="30"/>
      <c r="H41" s="217">
        <f t="shared" si="5"/>
        <v>73</v>
      </c>
      <c r="I41" s="348"/>
      <c r="J41" s="897">
        <v>0</v>
      </c>
      <c r="K41" s="898">
        <f t="shared" si="3"/>
        <v>0</v>
      </c>
      <c r="L41" s="897">
        <v>0</v>
      </c>
      <c r="M41" s="899">
        <f t="shared" si="4"/>
        <v>0</v>
      </c>
    </row>
    <row r="42" spans="1:13" ht="16.5" thickTop="1" thickBot="1" x14ac:dyDescent="0.25">
      <c r="A42" s="220" t="s">
        <v>6</v>
      </c>
      <c r="B42" s="345"/>
      <c r="C42" s="900">
        <f>SUM(C5:C41)</f>
        <v>0</v>
      </c>
      <c r="D42" s="900">
        <f>SUM(D5:D41)</f>
        <v>0</v>
      </c>
      <c r="E42" s="900">
        <f>SUM(E5:E41)</f>
        <v>0</v>
      </c>
      <c r="F42" s="901">
        <f>SUM(F5:F41)</f>
        <v>0</v>
      </c>
      <c r="G42" s="33"/>
      <c r="H42" s="220" t="s">
        <v>6</v>
      </c>
      <c r="I42" s="907">
        <f>M42-K42</f>
        <v>0</v>
      </c>
      <c r="J42" s="900">
        <f>SUM(J5:J41)</f>
        <v>0</v>
      </c>
      <c r="K42" s="900">
        <f>SUM(K5:K41)</f>
        <v>0</v>
      </c>
      <c r="L42" s="900">
        <f>SUM(L5:L41)</f>
        <v>0</v>
      </c>
      <c r="M42" s="901">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3">
    <mergeCell ref="A2:C2"/>
    <mergeCell ref="H2:J2"/>
    <mergeCell ref="F2:G2"/>
  </mergeCells>
  <phoneticPr fontId="0" type="noConversion"/>
  <printOptions horizontalCentered="1"/>
  <pageMargins left="0.74803149606299213" right="0.74803149606299213" top="0.78740157480314965" bottom="0.78740157480314965" header="0.51181102362204722" footer="0.51181102362204722"/>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Notes</vt:lpstr>
      <vt:lpstr>Input Data</vt:lpstr>
      <vt:lpstr>Worked Example</vt:lpstr>
      <vt:lpstr>Civ_Struct_Eng_Tax Invoice </vt:lpstr>
      <vt:lpstr>Scales</vt:lpstr>
      <vt:lpstr>WTW Input</vt:lpstr>
      <vt:lpstr>Worked Example(WTW)</vt:lpstr>
      <vt:lpstr>WTW Calculations</vt:lpstr>
      <vt:lpstr>Previous Payments</vt:lpstr>
      <vt:lpstr>Summary A3</vt:lpstr>
      <vt:lpstr>Time Based</vt:lpstr>
      <vt:lpstr>Travelling &amp; Subsistence</vt:lpstr>
      <vt:lpstr>Trip Sheet</vt:lpstr>
      <vt:lpstr>Typing, Duplicating, &amp; Printing</vt:lpstr>
      <vt:lpstr>Site staff &amp; Other</vt:lpstr>
      <vt:lpstr>Non Taxable</vt:lpstr>
      <vt:lpstr>'Civ_Struct_Eng_Tax Invoice '!Print_Area</vt:lpstr>
      <vt:lpstr>'Input Data'!Print_Area</vt:lpstr>
      <vt:lpstr>Notes!Print_Area</vt:lpstr>
      <vt:lpstr>'Site staff &amp; Other'!Print_Area</vt:lpstr>
      <vt:lpstr>'Summary A3'!Print_Area</vt:lpstr>
      <vt:lpstr>'Time Based'!Print_Area</vt:lpstr>
      <vt:lpstr>'Travelling &amp; Subsistence'!Print_Area</vt:lpstr>
      <vt:lpstr>'Worked Example'!Print_Area</vt:lpstr>
      <vt:lpstr>'Worked Example(WTW)'!Print_Area</vt:lpstr>
      <vt:lpstr>'WTW Calculations'!Print_Area</vt:lpstr>
      <vt:lpstr>'WTW Input'!Print_Area</vt:lpstr>
      <vt:lpstr>'Civ_Struct_Eng_Tax Invoice '!Print_Titles</vt:lpstr>
      <vt:lpstr>'Input Data'!Print_Titles</vt:lpstr>
      <vt:lpstr>'Worked Example'!Print_Titles</vt:lpstr>
      <vt:lpstr>'WTW Calculations'!Print_Titles</vt:lpstr>
      <vt:lpstr>SCALE_2011SE1</vt:lpstr>
      <vt:lpstr>SCALE_2011SE2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2012-11-09T13:09:30Z</cp:lastPrinted>
  <dcterms:created xsi:type="dcterms:W3CDTF">2000-04-06T11:32:49Z</dcterms:created>
  <dcterms:modified xsi:type="dcterms:W3CDTF">2012-11-09T13:10:18Z</dcterms:modified>
</cp:coreProperties>
</file>